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<sst xmlns="http://schemas.openxmlformats.org/spreadsheetml/2006/main" count="171" uniqueCount="123">
  <si>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</si>
  <si>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</si>
  <si>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</si>
  <si>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</si>
  <si>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</si>
  <si>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</si>
  <si>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</si>
  <si>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</si>
  <si>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</si>
  <si>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</si>
  <si>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</si>
  <si>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</si>
  <si>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</si>
  <si>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</si>
  <si>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</si>
  <si>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</si>
  <si>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</si>
  <si>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</si>
  <si>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</si>
  <si>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</si>
  <si>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</si>
  <si>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</si>
  <si>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</si>
  <si>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</si>
  <si>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</si>
  <si>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</si>
  <si>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</si>
  <si>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</si>
  <si>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</si>
  <si>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</si>
  <si>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</si>
  <si>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</si>
  <si>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</si>
  <si>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</si>
  <si>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</si>
  <si>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</si>
  <si>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</si>
  <si>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</si>
  <si>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</si>
  <si>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</si>
  <si>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</si>
  <si>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</si>
  <si>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</si>
  <si>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</si>
  <si>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</si>
  <si>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</si>
  <si>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</si>
  <si>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</si>
  <si>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</si>
  <si>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</si>
  <si>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</si>
  <si>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</si>
  <si>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</si>
  <si>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</si>
  <si>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</si>
  <si>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</si>
  <si>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</si>
  <si>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</si>
  <si>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</si>
  <si>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</si>
  <si>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</si>
  <si>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</si>
  <si>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</si>
  <si>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</si>
  <si>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</si>
  <si>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</si>
  <si>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</si>
  <si>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</si>
  <si>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</si>
  <si>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</si>
  <si>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</si>
  <si>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</si>
  <si>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</si>
  <si>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</si>
  <si>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</si>
  <si>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</si>
  <si>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</si>
  <si>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</si>
  <si>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</si>
  <si>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</si>
  <si>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</si>
  <si>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</si>
  <si>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</si>
  <si>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</si>
  <si>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</si>
  <si>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</si>
  <si>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</si>
  <si>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</si>
  <si>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</si>
  <si>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</si>
  <si>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</si>
  <si>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</si>
  <si>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</si>
  <si>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</si>
  <si>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</si>
  <si>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</si>
  <si>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</si>
  <si>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</si>
  <si>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</si>
  <si>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</si>
  <si>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</si>
  <si>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</si>
  <si>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</si>
  <si>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</si>
  <si>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</si>
  <si>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</si>
  <si>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</si>
  <si>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</si>
  <si>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</si>
  <si>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</si>
  <si>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</si>
  <si>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</si>
  <si>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</si>
  <si>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</si>
  <si>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</si>
  <si>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</si>
  <si>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</si>
  <si>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</si>
  <si>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</si>
  <si>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</si>
  <si>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</si>
  <si>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</si>
  <si>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09.12.2015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</si>
</sst>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50180.9</c:v>
                </c:pt>
                <c:pt idx="1">
                  <c:v>41400</c:v>
                </c:pt>
                <c:pt idx="2">
                  <c:v>2506.6</c:v>
                </c:pt>
                <c:pt idx="3">
                  <c:v>6274.300000000001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43449.69999999998</c:v>
                </c:pt>
                <c:pt idx="1">
                  <c:v>37335.299999999996</c:v>
                </c:pt>
                <c:pt idx="2">
                  <c:v>1296.7000000000005</c:v>
                </c:pt>
                <c:pt idx="3">
                  <c:v>4817.699999999986</c:v>
                </c:pt>
              </c:numCache>
            </c:numRef>
          </c:val>
          <c:shape val="box"/>
        </c:ser>
        <c:shape val="box"/>
        <c:axId val="27435112"/>
        <c:axId val="45589417"/>
      </c:bar3DChart>
      <c:catAx>
        <c:axId val="2743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89417"/>
        <c:crosses val="autoZero"/>
        <c:auto val="1"/>
        <c:lblOffset val="100"/>
        <c:tickLblSkip val="1"/>
        <c:noMultiLvlLbl val="0"/>
      </c:catAx>
      <c:valAx>
        <c:axId val="45589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351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364933.0999999999</c:v>
                </c:pt>
                <c:pt idx="1">
                  <c:v>180427.5</c:v>
                </c:pt>
                <c:pt idx="2">
                  <c:v>275299.80000000005</c:v>
                </c:pt>
                <c:pt idx="3">
                  <c:v>45.2</c:v>
                </c:pt>
                <c:pt idx="4">
                  <c:v>22077.699999999997</c:v>
                </c:pt>
                <c:pt idx="5">
                  <c:v>61449.7</c:v>
                </c:pt>
                <c:pt idx="6">
                  <c:v>274.7</c:v>
                </c:pt>
                <c:pt idx="7">
                  <c:v>5785.999999999881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308636.9000000001</c:v>
                </c:pt>
                <c:pt idx="1">
                  <c:v>154161.70000000007</c:v>
                </c:pt>
                <c:pt idx="2">
                  <c:v>245662.59999999995</c:v>
                </c:pt>
                <c:pt idx="3">
                  <c:v>33.6</c:v>
                </c:pt>
                <c:pt idx="4">
                  <c:v>16940.1</c:v>
                </c:pt>
                <c:pt idx="5">
                  <c:v>42662.50000000002</c:v>
                </c:pt>
                <c:pt idx="6">
                  <c:v>225.79999999999995</c:v>
                </c:pt>
                <c:pt idx="7">
                  <c:v>3112.300000000115</c:v>
                </c:pt>
              </c:numCache>
            </c:numRef>
          </c:val>
          <c:shape val="box"/>
        </c:ser>
        <c:shape val="box"/>
        <c:axId val="7651570"/>
        <c:axId val="1755267"/>
      </c:bar3DChart>
      <c:catAx>
        <c:axId val="765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5267"/>
        <c:crosses val="autoZero"/>
        <c:auto val="1"/>
        <c:lblOffset val="100"/>
        <c:tickLblSkip val="1"/>
        <c:noMultiLvlLbl val="0"/>
      </c:catAx>
      <c:valAx>
        <c:axId val="1755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515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13319.4</c:v>
                </c:pt>
                <c:pt idx="4">
                  <c:v>3376.8</c:v>
                </c:pt>
                <c:pt idx="5">
                  <c:v>25623</c:v>
                </c:pt>
                <c:pt idx="6">
                  <c:v>1480.1999999999998</c:v>
                </c:pt>
                <c:pt idx="7">
                  <c:v>10167.800000000007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214293.89999999994</c:v>
                </c:pt>
                <c:pt idx="1">
                  <c:v>177959.89999999997</c:v>
                </c:pt>
                <c:pt idx="2">
                  <c:v>172340.60000000003</c:v>
                </c:pt>
                <c:pt idx="3">
                  <c:v>11645.8</c:v>
                </c:pt>
                <c:pt idx="4">
                  <c:v>3141.699999999999</c:v>
                </c:pt>
                <c:pt idx="5">
                  <c:v>17190.3</c:v>
                </c:pt>
                <c:pt idx="6">
                  <c:v>1254.7999999999995</c:v>
                </c:pt>
                <c:pt idx="7">
                  <c:v>8720.699999999903</c:v>
                </c:pt>
              </c:numCache>
            </c:numRef>
          </c:val>
          <c:shape val="box"/>
        </c:ser>
        <c:shape val="box"/>
        <c:axId val="15797404"/>
        <c:axId val="7958909"/>
      </c:bar3DChart>
      <c:catAx>
        <c:axId val="15797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58909"/>
        <c:crosses val="autoZero"/>
        <c:auto val="1"/>
        <c:lblOffset val="100"/>
        <c:tickLblSkip val="1"/>
        <c:noMultiLvlLbl val="0"/>
      </c:catAx>
      <c:valAx>
        <c:axId val="7958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74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45320.99999999999</c:v>
                </c:pt>
                <c:pt idx="1">
                  <c:v>32176.7</c:v>
                </c:pt>
                <c:pt idx="2">
                  <c:v>2928.2</c:v>
                </c:pt>
                <c:pt idx="3">
                  <c:v>706.5</c:v>
                </c:pt>
                <c:pt idx="4">
                  <c:v>74.6</c:v>
                </c:pt>
                <c:pt idx="5">
                  <c:v>9434.99999999999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39484.19999999999</c:v>
                </c:pt>
                <c:pt idx="1">
                  <c:v>28889.7</c:v>
                </c:pt>
                <c:pt idx="2">
                  <c:v>1514.8000000000004</c:v>
                </c:pt>
                <c:pt idx="3">
                  <c:v>594.1</c:v>
                </c:pt>
                <c:pt idx="4">
                  <c:v>71.2</c:v>
                </c:pt>
                <c:pt idx="5">
                  <c:v>8414.399999999987</c:v>
                </c:pt>
              </c:numCache>
            </c:numRef>
          </c:val>
          <c:shape val="box"/>
        </c:ser>
        <c:shape val="box"/>
        <c:axId val="4521318"/>
        <c:axId val="40691863"/>
      </c:bar3DChart>
      <c:catAx>
        <c:axId val="4521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91863"/>
        <c:crosses val="autoZero"/>
        <c:auto val="1"/>
        <c:lblOffset val="100"/>
        <c:tickLblSkip val="1"/>
        <c:noMultiLvlLbl val="0"/>
      </c:catAx>
      <c:valAx>
        <c:axId val="40691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13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15196.000000000002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713.7</c:v>
                </c:pt>
                <c:pt idx="5">
                  <c:v>4771.200000000003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12727.900000000001</c:v>
                </c:pt>
                <c:pt idx="1">
                  <c:v>8367.600000000002</c:v>
                </c:pt>
                <c:pt idx="2">
                  <c:v>9.3</c:v>
                </c:pt>
                <c:pt idx="3">
                  <c:v>205.60000000000005</c:v>
                </c:pt>
                <c:pt idx="4">
                  <c:v>463.10000000000014</c:v>
                </c:pt>
                <c:pt idx="5">
                  <c:v>3682.299999999999</c:v>
                </c:pt>
              </c:numCache>
            </c:numRef>
          </c:val>
          <c:shape val="box"/>
        </c:ser>
        <c:shape val="box"/>
        <c:axId val="30682448"/>
        <c:axId val="7706577"/>
      </c:bar3DChart>
      <c:catAx>
        <c:axId val="3068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06577"/>
        <c:crosses val="autoZero"/>
        <c:auto val="1"/>
        <c:lblOffset val="100"/>
        <c:tickLblSkip val="2"/>
        <c:noMultiLvlLbl val="0"/>
      </c:catAx>
      <c:valAx>
        <c:axId val="7706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24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5489.3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2952.0000000000005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4958.2</c:v>
                </c:pt>
                <c:pt idx="1">
                  <c:v>1386.4999999999998</c:v>
                </c:pt>
                <c:pt idx="2">
                  <c:v>296.3</c:v>
                </c:pt>
                <c:pt idx="3">
                  <c:v>271.5000000000001</c:v>
                </c:pt>
                <c:pt idx="4">
                  <c:v>2871.6</c:v>
                </c:pt>
                <c:pt idx="5">
                  <c:v>132.2999999999999</c:v>
                </c:pt>
              </c:numCache>
            </c:numRef>
          </c:val>
          <c:shape val="box"/>
        </c:ser>
        <c:shape val="box"/>
        <c:axId val="2250330"/>
        <c:axId val="20252971"/>
      </c:bar3DChart>
      <c:catAx>
        <c:axId val="225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52971"/>
        <c:crosses val="autoZero"/>
        <c:auto val="1"/>
        <c:lblOffset val="100"/>
        <c:tickLblSkip val="1"/>
        <c:noMultiLvlLbl val="0"/>
      </c:catAx>
      <c:valAx>
        <c:axId val="20252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3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51923.900000000016</c:v>
                </c:pt>
              </c:numCache>
            </c:numRef>
          </c:val>
          <c:shape val="box"/>
        </c:ser>
        <c:shape val="box"/>
        <c:axId val="48059012"/>
        <c:axId val="29877925"/>
      </c:bar3DChart>
      <c:catAx>
        <c:axId val="4805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877925"/>
        <c:crosses val="autoZero"/>
        <c:auto val="1"/>
        <c:lblOffset val="100"/>
        <c:tickLblSkip val="1"/>
        <c:noMultiLvlLbl val="0"/>
      </c:catAx>
      <c:valAx>
        <c:axId val="29877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90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364933.0999999999</c:v>
                </c:pt>
                <c:pt idx="1">
                  <c:v>244842.30000000002</c:v>
                </c:pt>
                <c:pt idx="2">
                  <c:v>45320.99999999999</c:v>
                </c:pt>
                <c:pt idx="3">
                  <c:v>15196.000000000002</c:v>
                </c:pt>
                <c:pt idx="4">
                  <c:v>5489.3</c:v>
                </c:pt>
                <c:pt idx="5">
                  <c:v>50180.9</c:v>
                </c:pt>
                <c:pt idx="6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308636.9000000001</c:v>
                </c:pt>
                <c:pt idx="1">
                  <c:v>214293.89999999994</c:v>
                </c:pt>
                <c:pt idx="2">
                  <c:v>39484.19999999999</c:v>
                </c:pt>
                <c:pt idx="3">
                  <c:v>12727.900000000001</c:v>
                </c:pt>
                <c:pt idx="4">
                  <c:v>4958.2</c:v>
                </c:pt>
                <c:pt idx="5">
                  <c:v>43449.69999999998</c:v>
                </c:pt>
                <c:pt idx="6">
                  <c:v>51923.900000000016</c:v>
                </c:pt>
              </c:numCache>
            </c:numRef>
          </c:val>
          <c:shape val="box"/>
        </c:ser>
        <c:shape val="box"/>
        <c:axId val="465870"/>
        <c:axId val="4192831"/>
      </c:bar3DChart>
      <c:catAx>
        <c:axId val="46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2831"/>
        <c:crosses val="autoZero"/>
        <c:auto val="1"/>
        <c:lblOffset val="100"/>
        <c:tickLblSkip val="1"/>
        <c:noMultiLvlLbl val="0"/>
      </c:catAx>
      <c:valAx>
        <c:axId val="4192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8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558433.5</c:v>
                </c:pt>
                <c:pt idx="1">
                  <c:v>100135.2</c:v>
                </c:pt>
                <c:pt idx="2">
                  <c:v>26078.3</c:v>
                </c:pt>
                <c:pt idx="3">
                  <c:v>14806.300000000001</c:v>
                </c:pt>
                <c:pt idx="4">
                  <c:v>13534.7</c:v>
                </c:pt>
                <c:pt idx="5">
                  <c:v>275163.6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500839.79999999993</c:v>
                </c:pt>
                <c:pt idx="1">
                  <c:v>67885.90000000001</c:v>
                </c:pt>
                <c:pt idx="2">
                  <c:v>20629.099999999995</c:v>
                </c:pt>
                <c:pt idx="3">
                  <c:v>11204.3</c:v>
                </c:pt>
                <c:pt idx="4">
                  <c:v>11759.699999999999</c:v>
                </c:pt>
                <c:pt idx="5">
                  <c:v>246231.0070000001</c:v>
                </c:pt>
              </c:numCache>
            </c:numRef>
          </c:val>
          <c:shape val="box"/>
        </c:ser>
        <c:shape val="box"/>
        <c:axId val="37735480"/>
        <c:axId val="4075001"/>
      </c:bar3DChart>
      <c:catAx>
        <c:axId val="37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5001"/>
        <c:crosses val="autoZero"/>
        <c:auto val="1"/>
        <c:lblOffset val="100"/>
        <c:tickLblSkip val="1"/>
        <c:noMultiLvlLbl val="0"/>
      </c:catAx>
      <c:valAx>
        <c:axId val="4075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354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3" customHeight="1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/>
      <c r="C6" s="53">
        <f>336144.8+1363.8+2002.1+1+23261.5+164+251.8+14.1+30+1700</f>
        <v>364933.0999999999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+93.2+1273.5+3826.3+5835.8+124+1.7-18+1597.2+0.9+0.1+528.9+0.7+295+14663+591.5+188.4+93.9+0.1+116+2361+124.2+1521.7+81.6</f>
        <v>312841.4000000001</v>
      </c>
      <c r="E6" s="3">
        <f>D6/D149*100</f>
        <v>35.91187298408939</v>
      </c>
      <c r="F6" s="3" t="e">
        <f>D6/B6*100</f>
        <v>#DIV/0!</v>
      </c>
      <c r="G6" s="3">
        <f aca="true" t="shared" si="0" ref="G6:G43">D6/C6*100</f>
        <v>85.72568506391998</v>
      </c>
      <c r="H6" s="3">
        <f>B6-D6</f>
        <v>-312841.4000000001</v>
      </c>
      <c r="I6" s="3">
        <f aca="true" t="shared" si="1" ref="I6:I43">C6-D6</f>
        <v>52091.69999999984</v>
      </c>
    </row>
    <row r="7" spans="1:9" s="44" customFormat="1" ht="18.75">
      <c r="A7" s="116" t="s">
        <v>105</v>
      </c>
      <c r="B7" s="109"/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+5769.5+1.2+1.7+331.1+0.9+414.3+0.2+175.5+4563.2+240.3+146.6+69.1+916.5+944.5+14.1</f>
        <v>156036.80000000008</v>
      </c>
      <c r="E7" s="107">
        <f>D7/D6*100</f>
        <v>49.87728606252242</v>
      </c>
      <c r="F7" s="107" t="e">
        <f>D7/B7*100</f>
        <v>#DIV/0!</v>
      </c>
      <c r="G7" s="107">
        <f>D7/C7*100</f>
        <v>86.4817170331574</v>
      </c>
      <c r="H7" s="107">
        <f>B7-D7</f>
        <v>-156036.80000000008</v>
      </c>
      <c r="I7" s="107">
        <f t="shared" si="1"/>
        <v>24390.699999999924</v>
      </c>
    </row>
    <row r="8" spans="1:9" ht="18">
      <c r="A8" s="29" t="s">
        <v>3</v>
      </c>
      <c r="B8" s="49"/>
      <c r="C8" s="50">
        <f>251964.7+23254.2+21.4+203.6-151.3+7.2</f>
        <v>275299.80000000005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+5768.1+14663+5.2+14.2</f>
        <v>245676.79999999996</v>
      </c>
      <c r="E8" s="1">
        <f>D8/D6*100</f>
        <v>78.53078269052622</v>
      </c>
      <c r="F8" s="1" t="e">
        <f>D8/B8*100</f>
        <v>#DIV/0!</v>
      </c>
      <c r="G8" s="1">
        <f t="shared" si="0"/>
        <v>89.23973065000408</v>
      </c>
      <c r="H8" s="1">
        <f>B8-D8</f>
        <v>-245676.79999999996</v>
      </c>
      <c r="I8" s="1">
        <f t="shared" si="1"/>
        <v>29623.000000000087</v>
      </c>
    </row>
    <row r="9" spans="1:9" ht="18">
      <c r="A9" s="29" t="s">
        <v>2</v>
      </c>
      <c r="B9" s="49"/>
      <c r="C9" s="50">
        <v>45.2</v>
      </c>
      <c r="D9" s="51">
        <f>0.3+0.2+0.7+0.8+2+0.3+3.5+1.2+0.3+0.4+1.4+0.8+0.2+2.9+0.6+1.3+0.5+0.8+1.6+2.2+0.2+4.7+0.4+3.3+1.4+0.2+1.5-0.1+1.2+4.2</f>
        <v>39.00000000000001</v>
      </c>
      <c r="E9" s="12">
        <f>D9/D6*100</f>
        <v>0.012466380728381856</v>
      </c>
      <c r="F9" s="134" t="e">
        <f>D9/B9*100</f>
        <v>#DIV/0!</v>
      </c>
      <c r="G9" s="1">
        <f t="shared" si="0"/>
        <v>86.28318584070797</v>
      </c>
      <c r="H9" s="1">
        <f aca="true" t="shared" si="2" ref="H9:H43">B9-D9</f>
        <v>-39.00000000000001</v>
      </c>
      <c r="I9" s="1">
        <f t="shared" si="1"/>
        <v>6.199999999999996</v>
      </c>
    </row>
    <row r="10" spans="1:9" ht="18">
      <c r="A10" s="29" t="s">
        <v>1</v>
      </c>
      <c r="B10" s="49"/>
      <c r="C10" s="50">
        <f>21498.1+611.5-31.9</f>
        <v>22077.699999999997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+66.3+122.3+184.2+0.1+284.2+186+146.7+28.6+89.6+0.1+0.2+116+416+124.2+324.4+79.5</f>
        <v>18000.2</v>
      </c>
      <c r="E10" s="1">
        <f>D10/D6*100</f>
        <v>5.753778112487669</v>
      </c>
      <c r="F10" s="1" t="e">
        <f aca="true" t="shared" si="3" ref="F10:F41">D10/B10*100</f>
        <v>#DIV/0!</v>
      </c>
      <c r="G10" s="1">
        <f t="shared" si="0"/>
        <v>81.53113775438567</v>
      </c>
      <c r="H10" s="1">
        <f t="shared" si="2"/>
        <v>-18000.2</v>
      </c>
      <c r="I10" s="1">
        <f t="shared" si="1"/>
        <v>4077.4999999999964</v>
      </c>
    </row>
    <row r="11" spans="1:9" ht="18">
      <c r="A11" s="29" t="s">
        <v>0</v>
      </c>
      <c r="B11" s="49"/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+1384.1+207.6+59.3+434+92-0.1+1759+722.5+1.6</f>
        <v>45145.60000000002</v>
      </c>
      <c r="E11" s="1">
        <f>D11/D6*100</f>
        <v>14.430826610544514</v>
      </c>
      <c r="F11" s="1" t="e">
        <f t="shared" si="3"/>
        <v>#DIV/0!</v>
      </c>
      <c r="G11" s="1">
        <f t="shared" si="0"/>
        <v>73.46756778308115</v>
      </c>
      <c r="H11" s="1">
        <f t="shared" si="2"/>
        <v>-45145.60000000002</v>
      </c>
      <c r="I11" s="1">
        <f t="shared" si="1"/>
        <v>16304.099999999977</v>
      </c>
    </row>
    <row r="12" spans="1:9" ht="18">
      <c r="A12" s="29" t="s">
        <v>15</v>
      </c>
      <c r="B12" s="49"/>
      <c r="C12" s="50">
        <f>286.2+9.9-21.4</f>
        <v>274.7</v>
      </c>
      <c r="D12" s="51">
        <f>3.8+3.8+12.7+7.4+5+16.3+3.8+110.9+3.8+1.2+5.4+9.9+1.2+1.2+9.1+1.2-0.1+1.2+16.3+0.3+7.6+3.7+0.1+9.8+1.2</f>
        <v>236.79999999999995</v>
      </c>
      <c r="E12" s="1">
        <f>D12/D6*100</f>
        <v>0.07569330657643135</v>
      </c>
      <c r="F12" s="1" t="e">
        <f t="shared" si="3"/>
        <v>#DIV/0!</v>
      </c>
      <c r="G12" s="1">
        <f t="shared" si="0"/>
        <v>86.2031306880233</v>
      </c>
      <c r="H12" s="1">
        <f t="shared" si="2"/>
        <v>-236.79999999999995</v>
      </c>
      <c r="I12" s="1">
        <f t="shared" si="1"/>
        <v>37.900000000000034</v>
      </c>
    </row>
    <row r="13" spans="1:9" ht="18.75" thickBot="1">
      <c r="A13" s="29" t="s">
        <v>34</v>
      </c>
      <c r="B13" s="50">
        <f>B6-B8-B9-B10-B11-B12</f>
        <v>0</v>
      </c>
      <c r="C13" s="50">
        <f>C6-C8-C9-C10-C11-C12</f>
        <v>5785.999999999881</v>
      </c>
      <c r="D13" s="50">
        <f>D6-D8-D9-D10-D11-D12</f>
        <v>3743.0000000001046</v>
      </c>
      <c r="E13" s="1">
        <f>D13/D6*100</f>
        <v>1.1964528991367842</v>
      </c>
      <c r="F13" s="1" t="e">
        <f t="shared" si="3"/>
        <v>#DIV/0!</v>
      </c>
      <c r="G13" s="1">
        <f t="shared" si="0"/>
        <v>64.69063256135813</v>
      </c>
      <c r="H13" s="1">
        <f t="shared" si="2"/>
        <v>-3743.0000000001046</v>
      </c>
      <c r="I13" s="1">
        <f t="shared" si="1"/>
        <v>2042.9999999997763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/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+1053.9+688.8+1125.5+1.3+11+1376.4+20.7+6569.5+5788.4+185.9-15.5+0.1+275.5+14.3+4379.9</f>
        <v>218963.59999999992</v>
      </c>
      <c r="E18" s="3">
        <f>D18/D149*100</f>
        <v>25.135397653056636</v>
      </c>
      <c r="F18" s="3" t="e">
        <f>D18/B18*100</f>
        <v>#DIV/0!</v>
      </c>
      <c r="G18" s="3">
        <f t="shared" si="0"/>
        <v>89.43046197491198</v>
      </c>
      <c r="H18" s="3">
        <f>B18-D18</f>
        <v>-218963.59999999992</v>
      </c>
      <c r="I18" s="3">
        <f t="shared" si="1"/>
        <v>25878.7000000001</v>
      </c>
    </row>
    <row r="19" spans="1:9" s="44" customFormat="1" ht="18.75">
      <c r="A19" s="116" t="s">
        <v>106</v>
      </c>
      <c r="B19" s="109"/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+432+826.2+11+818.6+13.4+3383.2+1253.4+151+214.7+1311.2</f>
        <v>179485.8</v>
      </c>
      <c r="E19" s="107">
        <f>D19/D18*100</f>
        <v>81.97061064030736</v>
      </c>
      <c r="F19" s="107" t="e">
        <f t="shared" si="3"/>
        <v>#DIV/0!</v>
      </c>
      <c r="G19" s="107">
        <f t="shared" si="0"/>
        <v>93.30505368714081</v>
      </c>
      <c r="H19" s="107">
        <f t="shared" si="2"/>
        <v>-179485.8</v>
      </c>
      <c r="I19" s="107">
        <f t="shared" si="1"/>
        <v>12878.700000000012</v>
      </c>
    </row>
    <row r="20" spans="1:9" ht="18">
      <c r="A20" s="29" t="s">
        <v>5</v>
      </c>
      <c r="B20" s="49"/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+885.9+26.2+6567.7+4937.9+1.9+0.2+3161.7</f>
        <v>175502.30000000005</v>
      </c>
      <c r="E20" s="1">
        <f>D20/D18*100</f>
        <v>80.15135849063503</v>
      </c>
      <c r="F20" s="1" t="e">
        <f t="shared" si="3"/>
        <v>#DIV/0!</v>
      </c>
      <c r="G20" s="1">
        <f t="shared" si="0"/>
        <v>91.94614698302715</v>
      </c>
      <c r="H20" s="1">
        <f t="shared" si="2"/>
        <v>-175502.30000000005</v>
      </c>
      <c r="I20" s="1">
        <f t="shared" si="1"/>
        <v>15372.79999999996</v>
      </c>
    </row>
    <row r="21" spans="1:9" ht="18">
      <c r="A21" s="29" t="s">
        <v>2</v>
      </c>
      <c r="B21" s="49"/>
      <c r="C21" s="50">
        <f>12491.1+200.3+305.9+172.1+150</f>
        <v>13319.4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+105.7+269.8+719.5+693.4+1.8+202+57.7-15.5-0.1+160.4+14.3+238.4</f>
        <v>12058.899999999998</v>
      </c>
      <c r="E21" s="1">
        <f>D21/D18*100</f>
        <v>5.5072623942975</v>
      </c>
      <c r="F21" s="1" t="e">
        <f t="shared" si="3"/>
        <v>#DIV/0!</v>
      </c>
      <c r="G21" s="1">
        <f t="shared" si="0"/>
        <v>90.53636049671906</v>
      </c>
      <c r="H21" s="1">
        <f t="shared" si="2"/>
        <v>-12058.899999999998</v>
      </c>
      <c r="I21" s="1">
        <f t="shared" si="1"/>
        <v>1260.5000000000018</v>
      </c>
    </row>
    <row r="22" spans="1:9" ht="18">
      <c r="A22" s="29" t="s">
        <v>1</v>
      </c>
      <c r="B22" s="49"/>
      <c r="C22" s="50">
        <f>3253.3+123.5</f>
        <v>3376.8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+22.6+67.6+11+88.2+1.8+133+17.6+22.8</f>
        <v>3182.099999999999</v>
      </c>
      <c r="E22" s="1">
        <f>D22/D18*100</f>
        <v>1.4532552442506426</v>
      </c>
      <c r="F22" s="1" t="e">
        <f t="shared" si="3"/>
        <v>#DIV/0!</v>
      </c>
      <c r="G22" s="1">
        <f t="shared" si="0"/>
        <v>94.23418621179812</v>
      </c>
      <c r="H22" s="1">
        <f t="shared" si="2"/>
        <v>-3182.099999999999</v>
      </c>
      <c r="I22" s="1">
        <f t="shared" si="1"/>
        <v>194.70000000000118</v>
      </c>
    </row>
    <row r="23" spans="1:9" ht="18">
      <c r="A23" s="29" t="s">
        <v>0</v>
      </c>
      <c r="B23" s="49"/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+339.7+35.6+484.1+279.4+117.6+58.3+697.8</f>
        <v>17946.399999999998</v>
      </c>
      <c r="E23" s="1">
        <f>D23/D18*100</f>
        <v>8.196065464762182</v>
      </c>
      <c r="F23" s="1" t="e">
        <f t="shared" si="3"/>
        <v>#DIV/0!</v>
      </c>
      <c r="G23" s="1">
        <f t="shared" si="0"/>
        <v>70.04019825937633</v>
      </c>
      <c r="H23" s="1">
        <f t="shared" si="2"/>
        <v>-17946.399999999998</v>
      </c>
      <c r="I23" s="1">
        <f t="shared" si="1"/>
        <v>7676.600000000002</v>
      </c>
    </row>
    <row r="24" spans="1:9" ht="18">
      <c r="A24" s="29" t="s">
        <v>15</v>
      </c>
      <c r="B24" s="49"/>
      <c r="C24" s="50">
        <f>1528.1-5.9-42</f>
        <v>1480.1999999999998</v>
      </c>
      <c r="D24" s="51">
        <f>111+58.1+166.1+55.7+24.9+10.1-0.1+89.8+44.2+0.1+106.9+106.7+78.8+27.8+48.4+56.6+13.9-0.2+32.5+28.8+69.2+0.1+9.8+112.6+3.1-0.1</f>
        <v>1254.7999999999995</v>
      </c>
      <c r="E24" s="1">
        <f>D24/D18*100</f>
        <v>0.5730632854045148</v>
      </c>
      <c r="F24" s="1" t="e">
        <f t="shared" si="3"/>
        <v>#DIV/0!</v>
      </c>
      <c r="G24" s="1">
        <f t="shared" si="0"/>
        <v>84.77232806377513</v>
      </c>
      <c r="H24" s="1">
        <f t="shared" si="2"/>
        <v>-1254.7999999999995</v>
      </c>
      <c r="I24" s="1">
        <f t="shared" si="1"/>
        <v>225.40000000000032</v>
      </c>
    </row>
    <row r="25" spans="1:9" ht="18.75" thickBot="1">
      <c r="A25" s="29" t="s">
        <v>34</v>
      </c>
      <c r="B25" s="50">
        <f>B18-B20-B21-B22-B23-B24</f>
        <v>0</v>
      </c>
      <c r="C25" s="50">
        <f>C18-C20-C21-C22-C23-C24</f>
        <v>10167.800000000007</v>
      </c>
      <c r="D25" s="50">
        <f>D18-D20-D21-D22-D23-D24</f>
        <v>9019.099999999878</v>
      </c>
      <c r="E25" s="1">
        <f>D25/D18*100</f>
        <v>4.118995120650136</v>
      </c>
      <c r="F25" s="1" t="e">
        <f t="shared" si="3"/>
        <v>#DIV/0!</v>
      </c>
      <c r="G25" s="1">
        <f t="shared" si="0"/>
        <v>88.70257086095195</v>
      </c>
      <c r="H25" s="1">
        <f t="shared" si="2"/>
        <v>-9019.099999999878</v>
      </c>
      <c r="I25" s="1">
        <f t="shared" si="1"/>
        <v>1148.700000000128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/>
      <c r="C33" s="53">
        <f>41831.7+164.1+250.5+5+2544.6+99.9-0.1+37.1+54+254.2+80</f>
        <v>45320.99999999999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+6.8+20+76.5+5.2+34.4+8.4+1415.8+85.3+51.4+4+83.2+132.6+213.6+4.4+600.7+5</f>
        <v>40440.499999999985</v>
      </c>
      <c r="E33" s="3">
        <f>D33/D149*100</f>
        <v>4.642269531504035</v>
      </c>
      <c r="F33" s="3" t="e">
        <f>D33/B33*100</f>
        <v>#DIV/0!</v>
      </c>
      <c r="G33" s="3">
        <f t="shared" si="0"/>
        <v>89.23126144612871</v>
      </c>
      <c r="H33" s="3">
        <f t="shared" si="2"/>
        <v>-40440.499999999985</v>
      </c>
      <c r="I33" s="3">
        <f t="shared" si="1"/>
        <v>4880.500000000007</v>
      </c>
    </row>
    <row r="34" spans="1:9" ht="18">
      <c r="A34" s="29" t="s">
        <v>3</v>
      </c>
      <c r="B34" s="49"/>
      <c r="C34" s="50">
        <f>29626.4+2544.6+5.7</f>
        <v>32176.7</v>
      </c>
      <c r="D34" s="51">
        <f>1216.2+1064.6-0.1+1185.2+1240.8+0.1+1202.8+1206.8+1191.1+1224.7+5.8+1196.2+1414.6+52.8+4003.5+27.3+1811.7+0.1+103.5+404.5+5.7+308.6+119.4+352.5+1116.3+2.5+53.9+1234.5+1590.9-0.1+1357.7+21.1+1376.1+1.5+1409.1+1387.8</f>
        <v>28889.7</v>
      </c>
      <c r="E34" s="1">
        <f>D34/D33*100</f>
        <v>71.43754404619135</v>
      </c>
      <c r="F34" s="1" t="e">
        <f t="shared" si="3"/>
        <v>#DIV/0!</v>
      </c>
      <c r="G34" s="1">
        <f t="shared" si="0"/>
        <v>89.78453352892</v>
      </c>
      <c r="H34" s="1">
        <f t="shared" si="2"/>
        <v>-28889.7</v>
      </c>
      <c r="I34" s="1">
        <f t="shared" si="1"/>
        <v>3287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/>
      <c r="C36" s="50">
        <f>2423.5+250.5+254.2</f>
        <v>2928.2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+25.6+66.4+3.7+4.2+0.7+1.2+8.2+9.5+85.3+1.7+54.2+1+266.3</f>
        <v>1836.3000000000004</v>
      </c>
      <c r="E36" s="1">
        <f>D36/D33*100</f>
        <v>4.5407450451898494</v>
      </c>
      <c r="F36" s="1" t="e">
        <f t="shared" si="3"/>
        <v>#DIV/0!</v>
      </c>
      <c r="G36" s="1">
        <f t="shared" si="0"/>
        <v>62.71088040434398</v>
      </c>
      <c r="H36" s="1">
        <f t="shared" si="2"/>
        <v>-1836.3000000000004</v>
      </c>
      <c r="I36" s="1">
        <f t="shared" si="1"/>
        <v>1091.8999999999994</v>
      </c>
    </row>
    <row r="37" spans="1:9" s="44" customFormat="1" ht="18.75">
      <c r="A37" s="23" t="s">
        <v>7</v>
      </c>
      <c r="B37" s="58"/>
      <c r="C37" s="59">
        <f>493.5+22+99.9+37.1+54</f>
        <v>706.5</v>
      </c>
      <c r="D37" s="60">
        <f>19+12.3+0.1+11.9+3.2+10.7+22.4+14.8+37.3+30.8+8.3+7.2+2+25.1+13.4+51+75.3+5+2.8+24.5+38+3.4+3+54.3+34.4+35.4+45.5+2+1+77.4+4.4</f>
        <v>675.9</v>
      </c>
      <c r="E37" s="19">
        <f>D37/D33*100</f>
        <v>1.6713443206686371</v>
      </c>
      <c r="F37" s="19" t="e">
        <f t="shared" si="3"/>
        <v>#DIV/0!</v>
      </c>
      <c r="G37" s="19">
        <f t="shared" si="0"/>
        <v>95.6687898089172</v>
      </c>
      <c r="H37" s="19">
        <f t="shared" si="2"/>
        <v>-675.9</v>
      </c>
      <c r="I37" s="19">
        <f t="shared" si="1"/>
        <v>30.600000000000023</v>
      </c>
    </row>
    <row r="38" spans="1:9" ht="18">
      <c r="A38" s="29" t="s">
        <v>15</v>
      </c>
      <c r="B38" s="49"/>
      <c r="C38" s="50">
        <f>47.2+27.4</f>
        <v>74.6</v>
      </c>
      <c r="D38" s="50">
        <f>3.4+3.4+3.4+3.4+3.4+50.8+3.4</f>
        <v>71.2</v>
      </c>
      <c r="E38" s="1">
        <f>D38/D33*100</f>
        <v>0.17606112684066721</v>
      </c>
      <c r="F38" s="1" t="e">
        <f t="shared" si="3"/>
        <v>#DIV/0!</v>
      </c>
      <c r="G38" s="1">
        <f t="shared" si="0"/>
        <v>95.44235924932977</v>
      </c>
      <c r="H38" s="1">
        <f t="shared" si="2"/>
        <v>-71.2</v>
      </c>
      <c r="I38" s="1">
        <f t="shared" si="1"/>
        <v>3.3999999999999915</v>
      </c>
    </row>
    <row r="39" spans="1:9" ht="18.75" thickBot="1">
      <c r="A39" s="29" t="s">
        <v>34</v>
      </c>
      <c r="B39" s="49">
        <f>B33-B34-B36-B37-B35-B38</f>
        <v>0</v>
      </c>
      <c r="C39" s="49">
        <f>C33-C34-C36-C37-C35-C38</f>
        <v>9434.99999999999</v>
      </c>
      <c r="D39" s="49">
        <f>D33-D34-D36-D37-D35-D38</f>
        <v>8967.399999999983</v>
      </c>
      <c r="E39" s="1">
        <f>D39/D33*100</f>
        <v>22.174305461109498</v>
      </c>
      <c r="F39" s="1" t="e">
        <f t="shared" si="3"/>
        <v>#DIV/0!</v>
      </c>
      <c r="G39" s="1">
        <f t="shared" si="0"/>
        <v>95.04398516163214</v>
      </c>
      <c r="H39" s="1">
        <f>B39-D39</f>
        <v>-8967.399999999983</v>
      </c>
      <c r="I39" s="1">
        <f t="shared" si="1"/>
        <v>467.60000000000764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/>
      <c r="C43" s="53">
        <f>768.4+32.5+15+3+3-54</f>
        <v>767.9</v>
      </c>
      <c r="D43" s="54">
        <f>17.7+12.2+11.2+51.1+0.8+30+0.1+18.9+27.3+43.7+9+5.4+5.6+7.8+24.4+6.4-0.1+26.1+70.2+6+6+27.3+26.1+5.1+3+1+25.2+2+11+3.6+29+1+5+4.7+31.3+9.4+0.5+9.7+28.7+7.4+0.1+1.9+2.3+1+0.1+27.3+7.4+5.9</f>
        <v>656.8</v>
      </c>
      <c r="E43" s="3">
        <f>D43/D149*100</f>
        <v>0.07539576979245684</v>
      </c>
      <c r="F43" s="3" t="e">
        <f>D43/B43*100</f>
        <v>#DIV/0!</v>
      </c>
      <c r="G43" s="3">
        <f t="shared" si="0"/>
        <v>85.53197030863393</v>
      </c>
      <c r="H43" s="3">
        <f t="shared" si="2"/>
        <v>-656.8</v>
      </c>
      <c r="I43" s="3">
        <f t="shared" si="1"/>
        <v>111.10000000000002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/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+243.6+4.7+21.6+0.9+375.7-0.1</f>
        <v>6598.299999999997</v>
      </c>
      <c r="E45" s="3">
        <f>D45/D149*100</f>
        <v>0.7574359132484284</v>
      </c>
      <c r="F45" s="3" t="e">
        <f>D45/B45*100</f>
        <v>#DIV/0!</v>
      </c>
      <c r="G45" s="3">
        <f aca="true" t="shared" si="4" ref="G45:G75">D45/C45*100</f>
        <v>87.62217146499516</v>
      </c>
      <c r="H45" s="3">
        <f>B45-D45</f>
        <v>-6598.299999999997</v>
      </c>
      <c r="I45" s="3">
        <f aca="true" t="shared" si="5" ref="I45:I76">C45-D45</f>
        <v>932.100000000004</v>
      </c>
    </row>
    <row r="46" spans="1:9" ht="18">
      <c r="A46" s="29" t="s">
        <v>3</v>
      </c>
      <c r="B46" s="49"/>
      <c r="C46" s="50">
        <f>5755.9+764.6</f>
        <v>6520.5</v>
      </c>
      <c r="D46" s="51">
        <f>193+222.7+1.6+196.4+240.9+0.1+199.7+265.9+214+253.1+238.6+255.9+243.9+273.5+83.6+206+267.9+52.2+106.2+102.2+205.5+137.5+232.3+354.4-0.1+203.6+485.3+235+368.7+0.1</f>
        <v>5839.7</v>
      </c>
      <c r="E46" s="1">
        <f>D46/D45*100</f>
        <v>88.50309928314873</v>
      </c>
      <c r="F46" s="1" t="e">
        <f aca="true" t="shared" si="6" ref="F46:F73">D46/B46*100</f>
        <v>#DIV/0!</v>
      </c>
      <c r="G46" s="1">
        <f t="shared" si="4"/>
        <v>89.55908289241621</v>
      </c>
      <c r="H46" s="1">
        <f aca="true" t="shared" si="7" ref="H46:H73">B46-D46</f>
        <v>-5839.7</v>
      </c>
      <c r="I46" s="1">
        <f t="shared" si="5"/>
        <v>680.8000000000002</v>
      </c>
    </row>
    <row r="47" spans="1:9" ht="18">
      <c r="A47" s="29" t="s">
        <v>2</v>
      </c>
      <c r="B47" s="49"/>
      <c r="C47" s="50">
        <v>1.2</v>
      </c>
      <c r="D47" s="51">
        <f>0.3+0.4+0.3</f>
        <v>1</v>
      </c>
      <c r="E47" s="1">
        <f>D47/D45*100</f>
        <v>0.015155418819999097</v>
      </c>
      <c r="F47" s="1" t="e">
        <f t="shared" si="6"/>
        <v>#DIV/0!</v>
      </c>
      <c r="G47" s="1">
        <f t="shared" si="4"/>
        <v>83.33333333333334</v>
      </c>
      <c r="H47" s="1">
        <f t="shared" si="7"/>
        <v>-1</v>
      </c>
      <c r="I47" s="1">
        <f t="shared" si="5"/>
        <v>0.19999999999999996</v>
      </c>
    </row>
    <row r="48" spans="1:9" ht="18">
      <c r="A48" s="29" t="s">
        <v>1</v>
      </c>
      <c r="B48" s="49"/>
      <c r="C48" s="50">
        <v>60.2</v>
      </c>
      <c r="D48" s="51">
        <f>3.8+1+5.7-0.1+1.3+4.1-0.1+4.6+1.1+4.8+5.5+2+1.7+4.3+1.9+3.8</f>
        <v>45.4</v>
      </c>
      <c r="E48" s="1">
        <f>D48/D45*100</f>
        <v>0.688056014427959</v>
      </c>
      <c r="F48" s="1" t="e">
        <f t="shared" si="6"/>
        <v>#DIV/0!</v>
      </c>
      <c r="G48" s="1">
        <f t="shared" si="4"/>
        <v>75.41528239202657</v>
      </c>
      <c r="H48" s="1">
        <f t="shared" si="7"/>
        <v>-45.4</v>
      </c>
      <c r="I48" s="1">
        <f t="shared" si="5"/>
        <v>14.800000000000004</v>
      </c>
    </row>
    <row r="49" spans="1:9" ht="18">
      <c r="A49" s="29" t="s">
        <v>0</v>
      </c>
      <c r="B49" s="49"/>
      <c r="C49" s="50">
        <f>538.3</f>
        <v>538.3</v>
      </c>
      <c r="D49" s="51">
        <f>4.7+90.3+4.8+67.1+3.1+1.1+45.6+36.3+2.7+2+0.1+34.4+3.4+0.5+2.5+1.1+0.5+0.5+1.4+1.1+0.5+1.9+0.9+0.4+1.5+1.2+0.1+0.4+2.2+1.9+22.2+2.3+20.3</f>
        <v>358.99999999999983</v>
      </c>
      <c r="E49" s="1">
        <f>D49/D45*100</f>
        <v>5.440795356379673</v>
      </c>
      <c r="F49" s="1" t="e">
        <f t="shared" si="6"/>
        <v>#DIV/0!</v>
      </c>
      <c r="G49" s="1">
        <f t="shared" si="4"/>
        <v>66.69143600222921</v>
      </c>
      <c r="H49" s="1">
        <f t="shared" si="7"/>
        <v>-358.99999999999983</v>
      </c>
      <c r="I49" s="1">
        <f t="shared" si="5"/>
        <v>179.30000000000013</v>
      </c>
    </row>
    <row r="50" spans="1:9" ht="18.75" thickBot="1">
      <c r="A50" s="29" t="s">
        <v>34</v>
      </c>
      <c r="B50" s="50">
        <f>B45-B46-B49-B48-B47</f>
        <v>0</v>
      </c>
      <c r="C50" s="50">
        <f>C45-C46-C49-C48-C47</f>
        <v>410.2000000000015</v>
      </c>
      <c r="D50" s="50">
        <f>D45-D46-D49-D48-D47</f>
        <v>353.19999999999783</v>
      </c>
      <c r="E50" s="1">
        <f>D50/D45*100</f>
        <v>5.352893927223648</v>
      </c>
      <c r="F50" s="1" t="e">
        <f t="shared" si="6"/>
        <v>#DIV/0!</v>
      </c>
      <c r="G50" s="1">
        <f t="shared" si="4"/>
        <v>86.10433934665932</v>
      </c>
      <c r="H50" s="1">
        <f t="shared" si="7"/>
        <v>-353.19999999999783</v>
      </c>
      <c r="I50" s="1">
        <f t="shared" si="5"/>
        <v>57.000000000003695</v>
      </c>
    </row>
    <row r="51" spans="1:9" ht="18.75" thickBot="1">
      <c r="A51" s="28" t="s">
        <v>4</v>
      </c>
      <c r="B51" s="52"/>
      <c r="C51" s="53">
        <f>13881+326.7+639.9+50+160.7+137.7</f>
        <v>15196.000000000002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+541.6+51.9+0.2+4+508.9+206.8+55.4+4.2+40.7</f>
        <v>12772.800000000003</v>
      </c>
      <c r="E51" s="3">
        <f>D51/D149*100</f>
        <v>1.466222728996792</v>
      </c>
      <c r="F51" s="3" t="e">
        <f>D51/B51*100</f>
        <v>#DIV/0!</v>
      </c>
      <c r="G51" s="3">
        <f t="shared" si="4"/>
        <v>84.05369834166888</v>
      </c>
      <c r="H51" s="3">
        <f>B51-D51</f>
        <v>-12772.800000000003</v>
      </c>
      <c r="I51" s="3">
        <f t="shared" si="5"/>
        <v>2423.199999999999</v>
      </c>
    </row>
    <row r="52" spans="1:9" ht="18">
      <c r="A52" s="29" t="s">
        <v>3</v>
      </c>
      <c r="B52" s="49"/>
      <c r="C52" s="50">
        <f>8729.1+639.9+67.5</f>
        <v>9436.5</v>
      </c>
      <c r="D52" s="51">
        <f>260.4+390.2+0.1+271.7+395.7-0.1+282.9+391.4+0.1+7.8+263.9+397.2+272.6+486-0.1+358+766.6-0.1+295.1+13.6+394.1+219.2+320.5+285+521.5+317.6+578.5+0.1+3.8+365.3+508.9+0.1</f>
        <v>8367.600000000002</v>
      </c>
      <c r="E52" s="1">
        <f>D52/D51*100</f>
        <v>65.51108605787299</v>
      </c>
      <c r="F52" s="1" t="e">
        <f t="shared" si="6"/>
        <v>#DIV/0!</v>
      </c>
      <c r="G52" s="1">
        <f t="shared" si="4"/>
        <v>88.67270704180578</v>
      </c>
      <c r="H52" s="1">
        <f t="shared" si="7"/>
        <v>-8367.600000000002</v>
      </c>
      <c r="I52" s="1">
        <f t="shared" si="5"/>
        <v>1068.8999999999978</v>
      </c>
    </row>
    <row r="53" spans="1:9" ht="18">
      <c r="A53" s="29" t="s">
        <v>2</v>
      </c>
      <c r="B53" s="49"/>
      <c r="C53" s="50">
        <v>10.9</v>
      </c>
      <c r="D53" s="51">
        <f>1.4+1.4+1.2+3.1+2.2</f>
        <v>9.3</v>
      </c>
      <c r="E53" s="1">
        <f>D53/D51*100</f>
        <v>0.07281097331830137</v>
      </c>
      <c r="F53" s="1" t="e">
        <f t="shared" si="6"/>
        <v>#DIV/0!</v>
      </c>
      <c r="G53" s="1">
        <f t="shared" si="4"/>
        <v>85.3211009174312</v>
      </c>
      <c r="H53" s="1">
        <f t="shared" si="7"/>
        <v>-9.3</v>
      </c>
      <c r="I53" s="1">
        <f t="shared" si="5"/>
        <v>1.5999999999999996</v>
      </c>
    </row>
    <row r="54" spans="1:9" ht="18">
      <c r="A54" s="29" t="s">
        <v>1</v>
      </c>
      <c r="B54" s="49"/>
      <c r="C54" s="50">
        <f>189.7+74</f>
        <v>263.7</v>
      </c>
      <c r="D54" s="51">
        <f>1.7+1.5+4.6+9.7+8-0.1+0.1+5.9+12.1+0.1+17.6+12.8+4+10.7+8.4+14.1+1.9+4.9+0.7+2.4+2.3+3.8+1+1.4+3.6+2.3+15.6+9.1+19.4+7.3+0.9+4.6+8.7+1.8+2.8-0.1+4.1</f>
        <v>209.70000000000005</v>
      </c>
      <c r="E54" s="1">
        <f>D54/D51*100</f>
        <v>1.641770011273957</v>
      </c>
      <c r="F54" s="1" t="e">
        <f t="shared" si="6"/>
        <v>#DIV/0!</v>
      </c>
      <c r="G54" s="1">
        <f t="shared" si="4"/>
        <v>79.52218430034131</v>
      </c>
      <c r="H54" s="1">
        <f t="shared" si="7"/>
        <v>-209.70000000000005</v>
      </c>
      <c r="I54" s="1">
        <f t="shared" si="5"/>
        <v>53.99999999999994</v>
      </c>
    </row>
    <row r="55" spans="1:9" ht="18">
      <c r="A55" s="29" t="s">
        <v>0</v>
      </c>
      <c r="B55" s="49"/>
      <c r="C55" s="50">
        <f>709.9+0.6+0.2+3</f>
        <v>713.7</v>
      </c>
      <c r="D55" s="51">
        <f>1.1+7.6+5.9+0.3+0.2+6.8+0.3+67.1+16.4-0.1+19.5+19.3+76.2+4.5+12.1+86.4+1+0.1+7.3+44.6+0.6+0.7+4.7+3.3+0.6+3.6+2.4+6.1+0.1+1.4+1.4+0.4+0.1+0.5+4.8+1.4+0.3+5.7+0.1+0.9+0.8+1.1+0.2+6.4+0.7+1+8.2+1.4+2+7.1+6.3+12.1+0.1+8.3</f>
        <v>471.40000000000015</v>
      </c>
      <c r="E55" s="1">
        <f>D55/D51*100</f>
        <v>3.6906551421771265</v>
      </c>
      <c r="F55" s="1" t="e">
        <f t="shared" si="6"/>
        <v>#DIV/0!</v>
      </c>
      <c r="G55" s="1">
        <f t="shared" si="4"/>
        <v>66.05016113212837</v>
      </c>
      <c r="H55" s="1">
        <f t="shared" si="7"/>
        <v>-471.40000000000015</v>
      </c>
      <c r="I55" s="1">
        <f t="shared" si="5"/>
        <v>242.2999999999999</v>
      </c>
    </row>
    <row r="56" spans="1:9" ht="18.75" thickBot="1">
      <c r="A56" s="29" t="s">
        <v>34</v>
      </c>
      <c r="B56" s="50">
        <f>B51-B52-B55-B54-B53</f>
        <v>0</v>
      </c>
      <c r="C56" s="50">
        <f>C51-C52-C55-C54-C53</f>
        <v>4771.200000000003</v>
      </c>
      <c r="D56" s="50">
        <f>D51-D52-D55-D54-D53</f>
        <v>3714.8</v>
      </c>
      <c r="E56" s="1">
        <f>D56/D51*100</f>
        <v>29.08367781535763</v>
      </c>
      <c r="F56" s="1" t="e">
        <f t="shared" si="6"/>
        <v>#DIV/0!</v>
      </c>
      <c r="G56" s="1">
        <f t="shared" si="4"/>
        <v>77.85881958417166</v>
      </c>
      <c r="H56" s="1">
        <f t="shared" si="7"/>
        <v>-3714.8</v>
      </c>
      <c r="I56" s="1">
        <f>C56-D56</f>
        <v>1056.4000000000024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/>
      <c r="C58" s="53">
        <f>3033.3+2447.7+44+102-137.7</f>
        <v>5489.3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+75.4+5.1+88.9+0.1-0.2</f>
        <v>4958.2</v>
      </c>
      <c r="E58" s="3">
        <f>D58/D149*100</f>
        <v>0.5691645946786837</v>
      </c>
      <c r="F58" s="3" t="e">
        <f>D58/B58*100</f>
        <v>#DIV/0!</v>
      </c>
      <c r="G58" s="3">
        <f t="shared" si="4"/>
        <v>90.3248137285264</v>
      </c>
      <c r="H58" s="3">
        <f>B58-D58</f>
        <v>-4958.2</v>
      </c>
      <c r="I58" s="3">
        <f t="shared" si="5"/>
        <v>531.1000000000004</v>
      </c>
    </row>
    <row r="59" spans="1:9" ht="18">
      <c r="A59" s="29" t="s">
        <v>3</v>
      </c>
      <c r="B59" s="49"/>
      <c r="C59" s="50">
        <f>1426.1+141.2</f>
        <v>1567.3</v>
      </c>
      <c r="D59" s="51">
        <f>36.1+65.6+39.2+69.1+1.8+43+66+41.2+71.4+46.8+1.2+82.5+0.1+44.9+89.3+53.8+64.9+50.3+105.6+56.7+78.9+42.1+92.6+54.8+88.7-0.1</f>
        <v>1386.4999999999998</v>
      </c>
      <c r="E59" s="1">
        <f>D59/D58*100</f>
        <v>27.9637771772014</v>
      </c>
      <c r="F59" s="1" t="e">
        <f t="shared" si="6"/>
        <v>#DIV/0!</v>
      </c>
      <c r="G59" s="1">
        <f t="shared" si="4"/>
        <v>88.4642378612901</v>
      </c>
      <c r="H59" s="1">
        <f t="shared" si="7"/>
        <v>-1386.4999999999998</v>
      </c>
      <c r="I59" s="1">
        <f t="shared" si="5"/>
        <v>180.80000000000018</v>
      </c>
    </row>
    <row r="60" spans="1:9" ht="18">
      <c r="A60" s="29" t="s">
        <v>1</v>
      </c>
      <c r="B60" s="49"/>
      <c r="C60" s="50">
        <f>299.9</f>
        <v>299.9</v>
      </c>
      <c r="D60" s="51">
        <f>82+25+0.2+76.4+51.7+60.3+0.7</f>
        <v>296.3</v>
      </c>
      <c r="E60" s="1">
        <f>D60/D58*100</f>
        <v>5.975959017385342</v>
      </c>
      <c r="F60" s="1" t="e">
        <f>D60/B60*100</f>
        <v>#DIV/0!</v>
      </c>
      <c r="G60" s="1">
        <f t="shared" si="4"/>
        <v>98.79959986662222</v>
      </c>
      <c r="H60" s="1">
        <f t="shared" si="7"/>
        <v>-296.3</v>
      </c>
      <c r="I60" s="1">
        <f t="shared" si="5"/>
        <v>3.599999999999966</v>
      </c>
    </row>
    <row r="61" spans="1:9" ht="18">
      <c r="A61" s="29" t="s">
        <v>0</v>
      </c>
      <c r="B61" s="49"/>
      <c r="C61" s="50">
        <f>420.8+44</f>
        <v>464.8</v>
      </c>
      <c r="D61" s="51">
        <f>1.3+56.1+4.9+63.5+3.5+0.7+63-0.1+10.3+25.7+2.8+0.3+7.3+0.2+1+0.1+0.3+1+0.2+2.3+0.3+1.5+20.1+5.1+0.1</f>
        <v>271.5000000000001</v>
      </c>
      <c r="E61" s="1">
        <f>D61/D58*100</f>
        <v>5.475777499899159</v>
      </c>
      <c r="F61" s="1" t="e">
        <f t="shared" si="6"/>
        <v>#DIV/0!</v>
      </c>
      <c r="G61" s="1">
        <f t="shared" si="4"/>
        <v>58.41222030981069</v>
      </c>
      <c r="H61" s="1">
        <f t="shared" si="7"/>
        <v>-271.5000000000001</v>
      </c>
      <c r="I61" s="1">
        <f t="shared" si="5"/>
        <v>193.2999999999999</v>
      </c>
    </row>
    <row r="62" spans="1:9" ht="18">
      <c r="A62" s="29" t="s">
        <v>15</v>
      </c>
      <c r="B62" s="49"/>
      <c r="C62" s="50">
        <f>728.9+2400-39.2-137.7</f>
        <v>2952.0000000000005</v>
      </c>
      <c r="D62" s="51">
        <f>367.2+308.5+129.4+168.2+474.6+1423.8-0.1</f>
        <v>2871.6</v>
      </c>
      <c r="E62" s="1">
        <f>D62/D58*100</f>
        <v>57.91617925860191</v>
      </c>
      <c r="F62" s="1" t="e">
        <f>D62/B62*100</f>
        <v>#DIV/0!</v>
      </c>
      <c r="G62" s="1">
        <f t="shared" si="4"/>
        <v>97.27642276422762</v>
      </c>
      <c r="H62" s="1">
        <f t="shared" si="7"/>
        <v>-2871.6</v>
      </c>
      <c r="I62" s="1">
        <f t="shared" si="5"/>
        <v>80.40000000000055</v>
      </c>
    </row>
    <row r="63" spans="1:9" ht="18.75" thickBot="1">
      <c r="A63" s="29" t="s">
        <v>34</v>
      </c>
      <c r="B63" s="50">
        <f>B58-B59-B61-B62-B60</f>
        <v>0</v>
      </c>
      <c r="C63" s="50">
        <f>C58-C59-C61-C62-C60</f>
        <v>205.2999999999994</v>
      </c>
      <c r="D63" s="50">
        <f>D58-D59-D61-D62-D60</f>
        <v>132.2999999999999</v>
      </c>
      <c r="E63" s="1">
        <f>D63/D58*100</f>
        <v>2.668307046912184</v>
      </c>
      <c r="F63" s="1" t="e">
        <f t="shared" si="6"/>
        <v>#DIV/0!</v>
      </c>
      <c r="G63" s="1">
        <f t="shared" si="4"/>
        <v>64.44227959084282</v>
      </c>
      <c r="H63" s="1">
        <f t="shared" si="7"/>
        <v>-132.2999999999999</v>
      </c>
      <c r="I63" s="1">
        <f t="shared" si="5"/>
        <v>72.99999999999949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0</v>
      </c>
      <c r="C68" s="53">
        <f>C69+C70</f>
        <v>370.20000000000005</v>
      </c>
      <c r="D68" s="54">
        <f>SUM(D69:D70)</f>
        <v>300.1000000000001</v>
      </c>
      <c r="E68" s="42">
        <f>D68/D149*100</f>
        <v>0.0344492547422599</v>
      </c>
      <c r="F68" s="3" t="e">
        <f>D68/B68*100</f>
        <v>#DIV/0!</v>
      </c>
      <c r="G68" s="3">
        <f t="shared" si="4"/>
        <v>81.06428957320368</v>
      </c>
      <c r="H68" s="3">
        <f>B68-D68</f>
        <v>-300.1000000000001</v>
      </c>
      <c r="I68" s="3">
        <f t="shared" si="5"/>
        <v>70.09999999999997</v>
      </c>
    </row>
    <row r="69" spans="1:9" ht="18">
      <c r="A69" s="29" t="s">
        <v>8</v>
      </c>
      <c r="B69" s="49"/>
      <c r="C69" s="50">
        <f>250.3-5+64.3</f>
        <v>309.6</v>
      </c>
      <c r="D69" s="51">
        <f>0.2+12.6+73.3+85.8+22+1.3+2.3+2.7+1.6+2.5+7.9-0.2+3.6+5.1+14.9+0.1+2.1+5.3+13.2+2.6+0.1+3.5+4.6+0.3+1.9+3.3+9.4+0.1+6.7</f>
        <v>288.80000000000007</v>
      </c>
      <c r="E69" s="1">
        <f>D69/D68*100</f>
        <v>96.23458847050983</v>
      </c>
      <c r="F69" s="1" t="e">
        <f t="shared" si="6"/>
        <v>#DIV/0!</v>
      </c>
      <c r="G69" s="1">
        <f t="shared" si="4"/>
        <v>93.28165374677005</v>
      </c>
      <c r="H69" s="1">
        <f t="shared" si="7"/>
        <v>-288.80000000000007</v>
      </c>
      <c r="I69" s="1">
        <f t="shared" si="5"/>
        <v>20.799999999999955</v>
      </c>
    </row>
    <row r="70" spans="1:9" ht="18.75" thickBot="1">
      <c r="A70" s="29" t="s">
        <v>9</v>
      </c>
      <c r="B70" s="49"/>
      <c r="C70" s="50">
        <f>242.8-42.9-28.6-11-78-0.1-7.5-14.1</f>
        <v>60.600000000000016</v>
      </c>
      <c r="D70" s="51">
        <f>7.4+0.2+3.8-0.1</f>
        <v>11.3</v>
      </c>
      <c r="E70" s="1">
        <f>D70/D69*100</f>
        <v>3.9127423822714675</v>
      </c>
      <c r="F70" s="1" t="e">
        <f t="shared" si="6"/>
        <v>#DIV/0!</v>
      </c>
      <c r="G70" s="1">
        <f t="shared" si="4"/>
        <v>18.646864686468643</v>
      </c>
      <c r="H70" s="1">
        <f t="shared" si="7"/>
        <v>-11.3</v>
      </c>
      <c r="I70" s="1">
        <f t="shared" si="5"/>
        <v>49.30000000000001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/>
      <c r="C76" s="69">
        <f>10000-6127.8-2982.3-400</f>
        <v>489.89999999999964</v>
      </c>
      <c r="D76" s="70"/>
      <c r="E76" s="48"/>
      <c r="F76" s="48"/>
      <c r="G76" s="48"/>
      <c r="H76" s="48">
        <f>B76-D76</f>
        <v>0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/>
      <c r="C89" s="53">
        <f>47925.9+539.6+110+168.6+27+1682.4+76+79.6-68.5+205-651+86.3</f>
        <v>50180.9</v>
      </c>
      <c r="D89" s="54">
        <f>36671.5+50.5+277.1+1482.7+43.6+468.3-0.1+17.7+27.6+57.5+103.1+10.6+363+548.2+328.4+6+37.1+4.7+53.4-1.2+16.7+5+340.1+462.2+1666.1+400.9+9.2-0.2+21.4+305.8+72.7+149.3+55.7</f>
        <v>44054.599999999984</v>
      </c>
      <c r="E89" s="3">
        <f>D89/D149*100</f>
        <v>5.0571414127569545</v>
      </c>
      <c r="F89" s="3" t="e">
        <f aca="true" t="shared" si="10" ref="F89:F95">D89/B89*100</f>
        <v>#DIV/0!</v>
      </c>
      <c r="G89" s="3">
        <f t="shared" si="8"/>
        <v>87.79157009938041</v>
      </c>
      <c r="H89" s="3">
        <f aca="true" t="shared" si="11" ref="H89:H95">B89-D89</f>
        <v>-44054.599999999984</v>
      </c>
      <c r="I89" s="3">
        <f t="shared" si="9"/>
        <v>6126.3000000000175</v>
      </c>
    </row>
    <row r="90" spans="1:9" ht="18">
      <c r="A90" s="29" t="s">
        <v>3</v>
      </c>
      <c r="B90" s="49"/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+499.9+305.7+0.2+2.5+339.2+462.2+1485.6+299-0.1+239.8+6.2</f>
        <v>37581.299999999996</v>
      </c>
      <c r="E90" s="1">
        <f>D90/D89*100</f>
        <v>85.30618823005999</v>
      </c>
      <c r="F90" s="1" t="e">
        <f t="shared" si="10"/>
        <v>#DIV/0!</v>
      </c>
      <c r="G90" s="1">
        <f t="shared" si="8"/>
        <v>90.77608695652172</v>
      </c>
      <c r="H90" s="1">
        <f t="shared" si="11"/>
        <v>-37581.299999999996</v>
      </c>
      <c r="I90" s="1">
        <f t="shared" si="9"/>
        <v>3818.7000000000044</v>
      </c>
    </row>
    <row r="91" spans="1:9" ht="18">
      <c r="A91" s="29" t="s">
        <v>32</v>
      </c>
      <c r="B91" s="49"/>
      <c r="C91" s="50">
        <f>2406.5+168.6-68.5</f>
        <v>2506.6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+0.4+86.2+0.2+0.6+21.5+72.7+25.2</f>
        <v>1416.7000000000005</v>
      </c>
      <c r="E91" s="1">
        <f>D91/D89*100</f>
        <v>3.2157822338643434</v>
      </c>
      <c r="F91" s="1" t="e">
        <f t="shared" si="10"/>
        <v>#DIV/0!</v>
      </c>
      <c r="G91" s="1">
        <f t="shared" si="8"/>
        <v>56.51879039336155</v>
      </c>
      <c r="H91" s="1">
        <f t="shared" si="11"/>
        <v>-1416.7000000000005</v>
      </c>
      <c r="I91" s="1">
        <f t="shared" si="9"/>
        <v>1089.8999999999994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0</v>
      </c>
      <c r="C93" s="50">
        <f>C89-C90-C91-C92</f>
        <v>6274.300000000001</v>
      </c>
      <c r="D93" s="50">
        <f>D89-D90-D91-D92</f>
        <v>5056.599999999988</v>
      </c>
      <c r="E93" s="1">
        <f>D93/D89*100</f>
        <v>11.478029536075663</v>
      </c>
      <c r="F93" s="1" t="e">
        <f t="shared" si="10"/>
        <v>#DIV/0!</v>
      </c>
      <c r="G93" s="1">
        <f>D93/C93*100</f>
        <v>80.59225730360338</v>
      </c>
      <c r="H93" s="1">
        <f t="shared" si="11"/>
        <v>-5056.599999999988</v>
      </c>
      <c r="I93" s="1">
        <f>C93-D93</f>
        <v>1217.7000000000135</v>
      </c>
    </row>
    <row r="94" spans="1:9" ht="18.75">
      <c r="A94" s="120" t="s">
        <v>12</v>
      </c>
      <c r="B94" s="125"/>
      <c r="C94" s="127">
        <f>48638.3+1900-424+424+830+1679.1+0.1+2819.7+1149.3+400-0.1</f>
        <v>57416.4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+716.3+25.9+177.2+59+58.5+562.9+80.9+0.1+7.1+701.8+273.3+6.3</f>
        <v>52912.40000000002</v>
      </c>
      <c r="E94" s="119">
        <f>D94/D149*100</f>
        <v>6.073951171690614</v>
      </c>
      <c r="F94" s="123" t="e">
        <f t="shared" si="10"/>
        <v>#DIV/0!</v>
      </c>
      <c r="G94" s="118">
        <f>D94/C94*100</f>
        <v>92.15555137556521</v>
      </c>
      <c r="H94" s="124">
        <f t="shared" si="11"/>
        <v>-52912.40000000002</v>
      </c>
      <c r="I94" s="119">
        <f>C94-D94</f>
        <v>4503.999999999978</v>
      </c>
    </row>
    <row r="95" spans="1:9" ht="18.75" thickBot="1">
      <c r="A95" s="121" t="s">
        <v>107</v>
      </c>
      <c r="B95" s="128"/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600+69+9+48.5+2.5+299.7+50.5+190.4+1.3+10.6+6.7+53.3-0.1+0.9+266.8+7.4+4.8+52.9+0.1+200.2+15.7+7.1+5.9+55+13+150.2+100.5+23.9+52.6+56+166.1+18.9+16.3+57+182.9+5.3+14+56.5+0.5+15+250.5+29.4+17.9+58.3+222+1+0.5+13+58.5+0.1+2.1+273.3</f>
        <v>3813.500000000001</v>
      </c>
      <c r="E95" s="131">
        <f>D95/D94*100</f>
        <v>7.207195288816987</v>
      </c>
      <c r="F95" s="132" t="e">
        <f t="shared" si="10"/>
        <v>#DIV/0!</v>
      </c>
      <c r="G95" s="133">
        <f>D95/C95*100</f>
        <v>78.00642297543317</v>
      </c>
      <c r="H95" s="122">
        <f t="shared" si="11"/>
        <v>-3813.500000000001</v>
      </c>
      <c r="I95" s="96">
        <f>C95-D95</f>
        <v>1075.199999999999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/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+101.3+38.3+30.5+7.1+3+46.6+5.8+1.7+304.1+80.6+0.1+2.1+3.3+2.8+115.9</f>
        <v>6860.207000000005</v>
      </c>
      <c r="E101" s="25">
        <f>D101/D149*100</f>
        <v>0.787500894793851</v>
      </c>
      <c r="F101" s="25" t="e">
        <f>D101/B101*100</f>
        <v>#DIV/0!</v>
      </c>
      <c r="G101" s="25">
        <f aca="true" t="shared" si="12" ref="G101:G147">D101/C101*100</f>
        <v>66.25274757112786</v>
      </c>
      <c r="H101" s="25">
        <f aca="true" t="shared" si="13" ref="H101:H106">B101-D101</f>
        <v>-6860.207000000005</v>
      </c>
      <c r="I101" s="25">
        <f aca="true" t="shared" si="14" ref="I101:I147">C101-D101</f>
        <v>3494.3929999999955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/>
      <c r="C103" s="51">
        <f>5036.9+4586-16.4-3.1+0.1-234-4.8-54.3+7.5+0.1</f>
        <v>9318.000000000002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+3.9+31.1+30.2+7+3+46.5+5.8+1.7+258+66.4+1+2.1+2.7+115.7</f>
        <v>6197.299999999998</v>
      </c>
      <c r="E103" s="1">
        <f>D103/D101*100</f>
        <v>90.33692423566802</v>
      </c>
      <c r="F103" s="1" t="e">
        <f aca="true" t="shared" si="15" ref="F103:F147">D103/B103*100</f>
        <v>#DIV/0!</v>
      </c>
      <c r="G103" s="1">
        <f t="shared" si="12"/>
        <v>66.50890749087785</v>
      </c>
      <c r="H103" s="1">
        <f t="shared" si="13"/>
        <v>-6197.299999999998</v>
      </c>
      <c r="I103" s="1">
        <f t="shared" si="14"/>
        <v>3120.7000000000035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0</v>
      </c>
      <c r="C105" s="100">
        <f>C101-C102-C103</f>
        <v>1036.5999999999985</v>
      </c>
      <c r="D105" s="100">
        <f>D101-D102-D103</f>
        <v>662.9070000000065</v>
      </c>
      <c r="E105" s="96">
        <f>D105/D101*100</f>
        <v>9.663075764331982</v>
      </c>
      <c r="F105" s="96" t="e">
        <f t="shared" si="15"/>
        <v>#DIV/0!</v>
      </c>
      <c r="G105" s="96">
        <f t="shared" si="12"/>
        <v>63.95012540999493</v>
      </c>
      <c r="H105" s="96">
        <f>B105-D105</f>
        <v>-662.9070000000065</v>
      </c>
      <c r="I105" s="96">
        <f t="shared" si="14"/>
        <v>373.692999999992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0</v>
      </c>
      <c r="C106" s="93">
        <f>SUM(C107:C146)-C114-C118+C147-C138-C139-C108-C111-C121-C122-C136-C130-C128</f>
        <v>185259.59999999998</v>
      </c>
      <c r="D106" s="93">
        <f>SUM(D107:D146)-D114-D118+D147-D138-D139-D108-D111-D121-D122-D136-D130-D128</f>
        <v>169777.50000000003</v>
      </c>
      <c r="E106" s="94">
        <f>D106/D149*100</f>
        <v>19.489198090649886</v>
      </c>
      <c r="F106" s="94" t="e">
        <f>D106/B106*100</f>
        <v>#DIV/0!</v>
      </c>
      <c r="G106" s="94">
        <f t="shared" si="12"/>
        <v>91.64302416716869</v>
      </c>
      <c r="H106" s="94">
        <f t="shared" si="13"/>
        <v>-169777.50000000003</v>
      </c>
      <c r="I106" s="94">
        <f t="shared" si="14"/>
        <v>15482.099999999948</v>
      </c>
    </row>
    <row r="107" spans="1:9" ht="37.5">
      <c r="A107" s="34" t="s">
        <v>66</v>
      </c>
      <c r="B107" s="78"/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+0.6+0.2+2.2+2.6+6.5+0.1+58.4</f>
        <v>1185.8000000000002</v>
      </c>
      <c r="E107" s="6">
        <f>D107/D106*100</f>
        <v>0.6984435511183755</v>
      </c>
      <c r="F107" s="6" t="e">
        <f t="shared" si="15"/>
        <v>#DIV/0!</v>
      </c>
      <c r="G107" s="6">
        <f t="shared" si="12"/>
        <v>60.46298184784826</v>
      </c>
      <c r="H107" s="6">
        <f aca="true" t="shared" si="16" ref="H107:H147">B107-D107</f>
        <v>-1185.8000000000002</v>
      </c>
      <c r="I107" s="6">
        <f t="shared" si="14"/>
        <v>775.3999999999999</v>
      </c>
    </row>
    <row r="108" spans="1:9" ht="18">
      <c r="A108" s="29" t="s">
        <v>32</v>
      </c>
      <c r="B108" s="81"/>
      <c r="C108" s="51">
        <v>823.7</v>
      </c>
      <c r="D108" s="82">
        <f>96.8+90.7+64.1+48.5+58.1+15.9+13.5+19.9+29.9+6.9+7.8+25.5+38</f>
        <v>515.5999999999999</v>
      </c>
      <c r="E108" s="1"/>
      <c r="F108" s="1" t="e">
        <f t="shared" si="15"/>
        <v>#DIV/0!</v>
      </c>
      <c r="G108" s="1">
        <f t="shared" si="12"/>
        <v>62.595605196066515</v>
      </c>
      <c r="H108" s="1">
        <f t="shared" si="16"/>
        <v>-515.5999999999999</v>
      </c>
      <c r="I108" s="1">
        <f t="shared" si="14"/>
        <v>308.10000000000014</v>
      </c>
    </row>
    <row r="109" spans="1:9" ht="34.5" customHeight="1">
      <c r="A109" s="17" t="s">
        <v>99</v>
      </c>
      <c r="B109" s="80"/>
      <c r="C109" s="68">
        <v>903.8</v>
      </c>
      <c r="D109" s="79">
        <f>20.7+31.6+0.1+27.7-0.1+31.4+0.1+10.6+34.1+43.9+13.6+28.6+61.2+100.4+0.1+35.1+59.8+100.3+24.8</f>
        <v>624</v>
      </c>
      <c r="E109" s="6">
        <f>D109/D106*100</f>
        <v>0.3675398683571144</v>
      </c>
      <c r="F109" s="6" t="e">
        <f>D109/B109*100</f>
        <v>#DIV/0!</v>
      </c>
      <c r="G109" s="6">
        <f t="shared" si="12"/>
        <v>69.04182341225935</v>
      </c>
      <c r="H109" s="6">
        <f t="shared" si="16"/>
        <v>-624</v>
      </c>
      <c r="I109" s="6">
        <f t="shared" si="14"/>
        <v>279.79999999999995</v>
      </c>
    </row>
    <row r="110" spans="1:9" s="44" customFormat="1" ht="34.5" customHeight="1">
      <c r="A110" s="17" t="s">
        <v>74</v>
      </c>
      <c r="B110" s="80"/>
      <c r="C110" s="60">
        <f>71.8+12.8</f>
        <v>84.6</v>
      </c>
      <c r="D110" s="83">
        <f>5.3+5.3+0.5+1.7+6+6+6</f>
        <v>30.799999999999997</v>
      </c>
      <c r="E110" s="6">
        <f>D110/D106*100</f>
        <v>0.018141390938139622</v>
      </c>
      <c r="F110" s="6" t="e">
        <f t="shared" si="15"/>
        <v>#DIV/0!</v>
      </c>
      <c r="G110" s="6">
        <f t="shared" si="12"/>
        <v>36.406619385342786</v>
      </c>
      <c r="H110" s="6">
        <f t="shared" si="16"/>
        <v>-30.799999999999997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/>
      <c r="C112" s="68">
        <v>67.4</v>
      </c>
      <c r="D112" s="79">
        <f>5.5+5.4+5.5+5.5+5.5+5.5-0.1+2.7+0.1+2.7+5.5+5.5+2.7+2.7+2.7+2.7+0.1</f>
        <v>60.20000000000002</v>
      </c>
      <c r="E112" s="6">
        <f>D112/D106*100</f>
        <v>0.0354581731972729</v>
      </c>
      <c r="F112" s="6" t="e">
        <f t="shared" si="15"/>
        <v>#DIV/0!</v>
      </c>
      <c r="G112" s="6">
        <f t="shared" si="12"/>
        <v>89.31750741839764</v>
      </c>
      <c r="H112" s="6">
        <f t="shared" si="16"/>
        <v>-60.20000000000002</v>
      </c>
      <c r="I112" s="6">
        <f t="shared" si="14"/>
        <v>7.199999999999989</v>
      </c>
    </row>
    <row r="113" spans="1:9" ht="37.5">
      <c r="A113" s="17" t="s">
        <v>46</v>
      </c>
      <c r="B113" s="80"/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96.4+0.6+6.3+86+10.4+21.5+5.3+0.1+11.6+102.1+10.6+3.5+5.6+100.7+13.3+0.9+3.6+96.9-0.1+15.7+1.7+1+96.8+0.1+4+1+0.2+1.2+96.6+0.3-0.1+8.6+0.3+99+5.6+0.2+90.6+4.7+0.3+5.2+0.3+97.3+0.4-0.1+4.2+6.4+4.5+5.1+100.4+0.1</f>
        <v>1226.9000000000005</v>
      </c>
      <c r="E113" s="6">
        <f>D113/D106*100</f>
        <v>0.7226517059092049</v>
      </c>
      <c r="F113" s="6" t="e">
        <f t="shared" si="15"/>
        <v>#DIV/0!</v>
      </c>
      <c r="G113" s="6">
        <f t="shared" si="12"/>
        <v>80.05872756933118</v>
      </c>
      <c r="H113" s="6">
        <f t="shared" si="16"/>
        <v>-1226.9000000000005</v>
      </c>
      <c r="I113" s="6">
        <f t="shared" si="14"/>
        <v>305.59999999999945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/>
      <c r="C115" s="60">
        <v>36</v>
      </c>
      <c r="D115" s="83">
        <v>36</v>
      </c>
      <c r="E115" s="19">
        <f>D115/D106*100</f>
        <v>0.021204223174448908</v>
      </c>
      <c r="F115" s="6" t="e">
        <f t="shared" si="15"/>
        <v>#DIV/0!</v>
      </c>
      <c r="G115" s="19">
        <f t="shared" si="12"/>
        <v>100</v>
      </c>
      <c r="H115" s="19">
        <f t="shared" si="16"/>
        <v>-36</v>
      </c>
      <c r="I115" s="19">
        <f t="shared" si="14"/>
        <v>0</v>
      </c>
    </row>
    <row r="116" spans="1:9" ht="37.5">
      <c r="A116" s="17" t="s">
        <v>58</v>
      </c>
      <c r="B116" s="80"/>
      <c r="C116" s="68">
        <v>245.2</v>
      </c>
      <c r="D116" s="79">
        <f>19.1+40+15+2.5+6+9.5+25.5+6.5+3.5</f>
        <v>127.6</v>
      </c>
      <c r="E116" s="6">
        <f>D116/D106*100</f>
        <v>0.07515719102943556</v>
      </c>
      <c r="F116" s="6" t="e">
        <f>D116/B116*100</f>
        <v>#DIV/0!</v>
      </c>
      <c r="G116" s="6">
        <f t="shared" si="12"/>
        <v>52.039151712887445</v>
      </c>
      <c r="H116" s="6">
        <f t="shared" si="16"/>
        <v>-127.6</v>
      </c>
      <c r="I116" s="6">
        <f t="shared" si="14"/>
        <v>117.6</v>
      </c>
    </row>
    <row r="117" spans="1:9" s="2" customFormat="1" ht="18.75">
      <c r="A117" s="17" t="s">
        <v>16</v>
      </c>
      <c r="B117" s="80"/>
      <c r="C117" s="60">
        <f>199.6+4.8+37.1</f>
        <v>241.5</v>
      </c>
      <c r="D117" s="79">
        <f>1.6+18.3+17.8+0.8+2.2+4+0.6+16.7+3.7+3.6+16.7+3.4+1.3+16.7+2.9+0.8+16.7+0.1+0.8+1.3+16.7+3.7+1.1+1.1+3.7+16.7+0.8+3+0.3+0.6+16.7+1.1+22.1+2.1</f>
        <v>219.69999999999996</v>
      </c>
      <c r="E117" s="6">
        <f>D117/D106*100</f>
        <v>0.12940466198406733</v>
      </c>
      <c r="F117" s="6" t="e">
        <f t="shared" si="15"/>
        <v>#DIV/0!</v>
      </c>
      <c r="G117" s="6">
        <f t="shared" si="12"/>
        <v>90.97308488612835</v>
      </c>
      <c r="H117" s="6">
        <f t="shared" si="16"/>
        <v>-219.69999999999996</v>
      </c>
      <c r="I117" s="6">
        <f t="shared" si="14"/>
        <v>21.80000000000004</v>
      </c>
    </row>
    <row r="118" spans="1:9" s="39" customFormat="1" ht="18">
      <c r="A118" s="40" t="s">
        <v>53</v>
      </c>
      <c r="B118" s="81"/>
      <c r="C118" s="51">
        <f>150.8+37.1</f>
        <v>187.9</v>
      </c>
      <c r="D118" s="82">
        <f>16.7+16.7+16.7+16.7+16.7+16.7+16.7+16.7+16.7+18.6</f>
        <v>168.89999999999998</v>
      </c>
      <c r="E118" s="1"/>
      <c r="F118" s="1" t="e">
        <f t="shared" si="15"/>
        <v>#DIV/0!</v>
      </c>
      <c r="G118" s="1">
        <f t="shared" si="12"/>
        <v>89.88823842469397</v>
      </c>
      <c r="H118" s="1">
        <f t="shared" si="16"/>
        <v>-168.89999999999998</v>
      </c>
      <c r="I118" s="1">
        <f t="shared" si="14"/>
        <v>19.00000000000003</v>
      </c>
    </row>
    <row r="119" spans="1:9" s="2" customFormat="1" ht="18.75">
      <c r="A119" s="17" t="s">
        <v>25</v>
      </c>
      <c r="B119" s="80"/>
      <c r="C119" s="60">
        <f>1468.8+249.6</f>
        <v>1718.3999999999999</v>
      </c>
      <c r="D119" s="79">
        <f>249.6+108.7+40+50</f>
        <v>448.3</v>
      </c>
      <c r="E119" s="6">
        <f>D119/D106*100</f>
        <v>0.2640514791418179</v>
      </c>
      <c r="F119" s="6" t="e">
        <f t="shared" si="15"/>
        <v>#DIV/0!</v>
      </c>
      <c r="G119" s="6">
        <f t="shared" si="12"/>
        <v>26.088221601489757</v>
      </c>
      <c r="H119" s="6">
        <f t="shared" si="16"/>
        <v>-448.3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/>
      <c r="C120" s="60">
        <f>628+70+553-88+88</f>
        <v>1251</v>
      </c>
      <c r="D120" s="83">
        <f>110.6+553+71.8+70.5+84.9</f>
        <v>890.8</v>
      </c>
      <c r="E120" s="19">
        <f>D120/D106*100</f>
        <v>0.5246867223277524</v>
      </c>
      <c r="F120" s="6" t="e">
        <f t="shared" si="15"/>
        <v>#DIV/0!</v>
      </c>
      <c r="G120" s="6">
        <f t="shared" si="12"/>
        <v>71.207034372502</v>
      </c>
      <c r="H120" s="6">
        <f t="shared" si="16"/>
        <v>-890.8</v>
      </c>
      <c r="I120" s="6">
        <f t="shared" si="14"/>
        <v>360.20000000000005</v>
      </c>
    </row>
    <row r="121" spans="1:9" s="114" customFormat="1" ht="18">
      <c r="A121" s="29" t="s">
        <v>101</v>
      </c>
      <c r="B121" s="81"/>
      <c r="C121" s="51">
        <f>70+88</f>
        <v>158</v>
      </c>
      <c r="D121" s="82">
        <f>70+84.9</f>
        <v>154.9</v>
      </c>
      <c r="E121" s="6"/>
      <c r="F121" s="1" t="e">
        <f>D121/B121*100</f>
        <v>#DIV/0!</v>
      </c>
      <c r="G121" s="1">
        <f t="shared" si="12"/>
        <v>98.0379746835443</v>
      </c>
      <c r="H121" s="1">
        <f t="shared" si="16"/>
        <v>-154.9</v>
      </c>
      <c r="I121" s="1">
        <f t="shared" si="14"/>
        <v>3.0999999999999943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/>
      <c r="C123" s="60">
        <v>2933.8</v>
      </c>
      <c r="D123" s="83">
        <f>21+0.9+174.2+5+11.4+16.5-0.1+809.5+345.2+0.7+692.9+77.6+2.5-0.1+414.9+15+11.4+189.4+137.7-0.1+8.2</f>
        <v>2933.7000000000003</v>
      </c>
      <c r="E123" s="19">
        <f>D123/D106*100</f>
        <v>1.727967486857799</v>
      </c>
      <c r="F123" s="6" t="e">
        <f t="shared" si="15"/>
        <v>#DIV/0!</v>
      </c>
      <c r="G123" s="6">
        <f t="shared" si="12"/>
        <v>99.99659145136002</v>
      </c>
      <c r="H123" s="6">
        <f t="shared" si="16"/>
        <v>-2933.7000000000003</v>
      </c>
      <c r="I123" s="6">
        <f t="shared" si="14"/>
        <v>0.09999999999990905</v>
      </c>
    </row>
    <row r="124" spans="1:9" s="2" customFormat="1" ht="56.25">
      <c r="A124" s="17" t="s">
        <v>55</v>
      </c>
      <c r="B124" s="80"/>
      <c r="C124" s="60">
        <v>129.9</v>
      </c>
      <c r="D124" s="83">
        <v>129.9</v>
      </c>
      <c r="E124" s="19">
        <f>D124/D106*100</f>
        <v>0.07651190528780315</v>
      </c>
      <c r="F124" s="6" t="e">
        <f t="shared" si="15"/>
        <v>#DIV/0!</v>
      </c>
      <c r="G124" s="6">
        <f t="shared" si="12"/>
        <v>100</v>
      </c>
      <c r="H124" s="6">
        <f t="shared" si="16"/>
        <v>-129.9</v>
      </c>
      <c r="I124" s="6">
        <f t="shared" si="14"/>
        <v>0</v>
      </c>
    </row>
    <row r="125" spans="1:9" s="2" customFormat="1" ht="18.75">
      <c r="A125" s="17" t="s">
        <v>97</v>
      </c>
      <c r="B125" s="80"/>
      <c r="C125" s="60">
        <v>2</v>
      </c>
      <c r="D125" s="83">
        <v>2</v>
      </c>
      <c r="E125" s="19">
        <f>D125/D106*100</f>
        <v>0.001178012398580495</v>
      </c>
      <c r="F125" s="6" t="e">
        <f t="shared" si="15"/>
        <v>#DIV/0!</v>
      </c>
      <c r="G125" s="6">
        <f t="shared" si="12"/>
        <v>100</v>
      </c>
      <c r="H125" s="6">
        <f t="shared" si="16"/>
        <v>-2</v>
      </c>
      <c r="I125" s="6">
        <f t="shared" si="14"/>
        <v>0</v>
      </c>
    </row>
    <row r="126" spans="1:9" s="2" customFormat="1" ht="37.5">
      <c r="A126" s="17" t="s">
        <v>109</v>
      </c>
      <c r="B126" s="80"/>
      <c r="C126" s="60">
        <v>332.4</v>
      </c>
      <c r="D126" s="83">
        <f>59.9+25</f>
        <v>84.9</v>
      </c>
      <c r="E126" s="19">
        <f>D126/D106*100</f>
        <v>0.05000662631974201</v>
      </c>
      <c r="F126" s="6" t="e">
        <f t="shared" si="15"/>
        <v>#DIV/0!</v>
      </c>
      <c r="G126" s="6">
        <f t="shared" si="12"/>
        <v>25.541516245487365</v>
      </c>
      <c r="H126" s="6">
        <f t="shared" si="16"/>
        <v>-84.9</v>
      </c>
      <c r="I126" s="6">
        <f t="shared" si="14"/>
        <v>247.49999999999997</v>
      </c>
    </row>
    <row r="127" spans="1:9" s="2" customFormat="1" ht="37.5">
      <c r="A127" s="17" t="s">
        <v>77</v>
      </c>
      <c r="B127" s="80"/>
      <c r="C127" s="60">
        <f>101.4+27.9+634-0.1+60.1</f>
        <v>823.3</v>
      </c>
      <c r="D127" s="83">
        <f>3+3+4.9+21.9-0.1+12.2+1.6+6.9+7.8+0.7+8.4+2.4+5+2.4+0.1+5.6+2.4+0.1+5+2.4+578.6+30.5+2.4+19.2+2.4+0.3+0.9+4.2+55.2+2.8+10.6+2.8</f>
        <v>805.6</v>
      </c>
      <c r="E127" s="19">
        <f>D127/D106*100</f>
        <v>0.47450339414822335</v>
      </c>
      <c r="F127" s="6" t="e">
        <f t="shared" si="15"/>
        <v>#DIV/0!</v>
      </c>
      <c r="G127" s="6">
        <f t="shared" si="12"/>
        <v>97.85011538928703</v>
      </c>
      <c r="H127" s="6">
        <f t="shared" si="16"/>
        <v>-805.6</v>
      </c>
      <c r="I127" s="6">
        <f t="shared" si="14"/>
        <v>17.699999999999932</v>
      </c>
    </row>
    <row r="128" spans="1:9" s="39" customFormat="1" ht="18">
      <c r="A128" s="29" t="s">
        <v>118</v>
      </c>
      <c r="B128" s="81"/>
      <c r="C128" s="51">
        <v>706.8</v>
      </c>
      <c r="D128" s="82">
        <f>698.5+5.6</f>
        <v>704.1</v>
      </c>
      <c r="E128" s="1"/>
      <c r="F128" s="1" t="e">
        <f>D128/B128*100</f>
        <v>#DIV/0!</v>
      </c>
      <c r="G128" s="1">
        <f t="shared" si="12"/>
        <v>99.61799660441427</v>
      </c>
      <c r="H128" s="1">
        <f t="shared" si="16"/>
        <v>-704.1</v>
      </c>
      <c r="I128" s="1">
        <f t="shared" si="14"/>
        <v>2.699999999999932</v>
      </c>
    </row>
    <row r="129" spans="1:9" s="2" customFormat="1" ht="18.75">
      <c r="A129" s="17" t="s">
        <v>71</v>
      </c>
      <c r="B129" s="80"/>
      <c r="C129" s="60">
        <v>650</v>
      </c>
      <c r="D129" s="83">
        <f>8.7+23.6+6.2+5.1+38.5+4.6+4.8+8.6+12.9+2.8+0.1+16.3+3+2.5+6.2-0.2+39.7+9.9+9.5+37.2+8.4+10.6+4.5+4.6+8.4+6.1+57.4+4.4+6.7+28+9.4+8.7+4.9+9.5+4.4+8.6+6.7+7.6+14.9+42.7+4.6+6.6+6.7+14.6+6+24.7+10.6</f>
        <v>570.3000000000001</v>
      </c>
      <c r="E129" s="19">
        <f>D129/D106*100</f>
        <v>0.33591023545522813</v>
      </c>
      <c r="F129" s="6" t="e">
        <f t="shared" si="15"/>
        <v>#DIV/0!</v>
      </c>
      <c r="G129" s="6">
        <f t="shared" si="12"/>
        <v>87.73846153846155</v>
      </c>
      <c r="H129" s="6">
        <f t="shared" si="16"/>
        <v>-570.3000000000001</v>
      </c>
      <c r="I129" s="6">
        <f t="shared" si="14"/>
        <v>79.69999999999993</v>
      </c>
    </row>
    <row r="130" spans="1:9" s="39" customFormat="1" ht="18">
      <c r="A130" s="40" t="s">
        <v>53</v>
      </c>
      <c r="B130" s="81"/>
      <c r="C130" s="51">
        <v>74.7</v>
      </c>
      <c r="D130" s="82">
        <f>8.7+27-0.1+10.6</f>
        <v>46.2</v>
      </c>
      <c r="E130" s="1"/>
      <c r="F130" s="1" t="e">
        <f>D130/B130*100</f>
        <v>#DIV/0!</v>
      </c>
      <c r="G130" s="1">
        <f t="shared" si="12"/>
        <v>61.84738955823293</v>
      </c>
      <c r="H130" s="1">
        <f t="shared" si="16"/>
        <v>-46.2</v>
      </c>
      <c r="I130" s="1">
        <f t="shared" si="14"/>
        <v>28.5</v>
      </c>
    </row>
    <row r="131" spans="1:9" s="2" customFormat="1" ht="35.25" customHeight="1">
      <c r="A131" s="17" t="s">
        <v>70</v>
      </c>
      <c r="B131" s="80"/>
      <c r="C131" s="60">
        <f>171.5+14.8-110</f>
        <v>76.30000000000001</v>
      </c>
      <c r="D131" s="83">
        <f>5.6+5.6+3.5+1.3+1.8+0.1+2.5+14.8+2.8-0.1+1.4</f>
        <v>39.3</v>
      </c>
      <c r="E131" s="19">
        <f>D131/D106*100</f>
        <v>0.023147943632106722</v>
      </c>
      <c r="F131" s="6" t="e">
        <f t="shared" si="15"/>
        <v>#DIV/0!</v>
      </c>
      <c r="G131" s="6">
        <f t="shared" si="12"/>
        <v>51.50720838794233</v>
      </c>
      <c r="H131" s="6">
        <f t="shared" si="16"/>
        <v>-39.3</v>
      </c>
      <c r="I131" s="6">
        <f t="shared" si="14"/>
        <v>37.000000000000014</v>
      </c>
    </row>
    <row r="132" spans="1:9" s="2" customFormat="1" ht="35.25" customHeight="1">
      <c r="A132" s="17" t="s">
        <v>72</v>
      </c>
      <c r="B132" s="80"/>
      <c r="C132" s="60">
        <v>220</v>
      </c>
      <c r="D132" s="83"/>
      <c r="E132" s="19">
        <f>D132/D106*100</f>
        <v>0</v>
      </c>
      <c r="F132" s="6" t="e">
        <f t="shared" si="15"/>
        <v>#DIV/0!</v>
      </c>
      <c r="G132" s="6">
        <f t="shared" si="12"/>
        <v>0</v>
      </c>
      <c r="H132" s="6">
        <f t="shared" si="16"/>
        <v>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/>
      <c r="C133" s="60">
        <f>50+20-20</f>
        <v>50</v>
      </c>
      <c r="D133" s="83"/>
      <c r="E133" s="19">
        <f>D133/D106*100</f>
        <v>0</v>
      </c>
      <c r="F133" s="6" t="e">
        <f t="shared" si="15"/>
        <v>#DIV/0!</v>
      </c>
      <c r="G133" s="6">
        <f t="shared" si="12"/>
        <v>0</v>
      </c>
      <c r="H133" s="6">
        <f t="shared" si="16"/>
        <v>0</v>
      </c>
      <c r="I133" s="6">
        <f t="shared" si="14"/>
        <v>50</v>
      </c>
    </row>
    <row r="134" spans="1:9" s="2" customFormat="1" ht="35.25" customHeight="1">
      <c r="A134" s="17" t="s">
        <v>117</v>
      </c>
      <c r="B134" s="80"/>
      <c r="C134" s="60">
        <v>3882.1</v>
      </c>
      <c r="D134" s="83">
        <f>202.1+87.7+1115.9</f>
        <v>1405.7</v>
      </c>
      <c r="E134" s="19">
        <f>D134/D106*100</f>
        <v>0.8279660143423009</v>
      </c>
      <c r="F134" s="6" t="e">
        <f t="shared" si="15"/>
        <v>#DIV/0!</v>
      </c>
      <c r="G134" s="6">
        <f t="shared" si="12"/>
        <v>36.20978336467376</v>
      </c>
      <c r="H134" s="6">
        <f t="shared" si="16"/>
        <v>-1405.7</v>
      </c>
      <c r="I134" s="6">
        <f t="shared" si="14"/>
        <v>2476.3999999999996</v>
      </c>
    </row>
    <row r="135" spans="1:9" s="2" customFormat="1" ht="37.5">
      <c r="A135" s="17" t="s">
        <v>108</v>
      </c>
      <c r="B135" s="80"/>
      <c r="C135" s="60">
        <f>265.1+39.2+68.5</f>
        <v>372.8</v>
      </c>
      <c r="D135" s="83">
        <f>7.6+10.7+6.3+5.3+38.1+4+0.1+1.7+3.6+39.2+1.5+0.1+12.4+0.1+5.1+12+1.3+0.1+10.3+1.4+1.3+3.6+0.2+109+5+3.8+0.1+0.2</f>
        <v>284.1</v>
      </c>
      <c r="E135" s="19">
        <f>D135/D106*100</f>
        <v>0.1673366612183593</v>
      </c>
      <c r="F135" s="6" t="e">
        <f t="shared" si="15"/>
        <v>#DIV/0!</v>
      </c>
      <c r="G135" s="6">
        <f>D135/C135*100</f>
        <v>76.20708154506438</v>
      </c>
      <c r="H135" s="6">
        <f t="shared" si="16"/>
        <v>-284.1</v>
      </c>
      <c r="I135" s="6">
        <f t="shared" si="14"/>
        <v>88.69999999999999</v>
      </c>
    </row>
    <row r="136" spans="1:9" s="39" customFormat="1" ht="18">
      <c r="A136" s="29" t="s">
        <v>32</v>
      </c>
      <c r="B136" s="81"/>
      <c r="C136" s="51">
        <f>64.2+30+68.5</f>
        <v>162.7</v>
      </c>
      <c r="D136" s="82">
        <f>7.6+0.3+4.8+38.1+4+0.1+0.1+0.1+8.5+0.1+12+0.1+6.3+0.1+0.2+5+0.1</f>
        <v>87.49999999999999</v>
      </c>
      <c r="E136" s="1">
        <f>D136/D135*100</f>
        <v>30.799014431538186</v>
      </c>
      <c r="F136" s="1" t="e">
        <f t="shared" si="15"/>
        <v>#DIV/0!</v>
      </c>
      <c r="G136" s="1">
        <f>D136/C136*100</f>
        <v>53.77996312231099</v>
      </c>
      <c r="H136" s="1">
        <f t="shared" si="16"/>
        <v>-87.49999999999999</v>
      </c>
      <c r="I136" s="1">
        <f t="shared" si="14"/>
        <v>75.2</v>
      </c>
    </row>
    <row r="137" spans="1:9" s="2" customFormat="1" ht="18.75">
      <c r="A137" s="17" t="s">
        <v>31</v>
      </c>
      <c r="B137" s="80"/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21.9+41.8+0.1+6.1+26+3.6+0.1+41-0.1+21.3+6.2+7.1+43.4+4.5+8.8+48.5+7.5+32.1+0.1+41.9+8.4+5.1+33.1+1.3+25.6+4.3+48.8+5.3+25.6+1.9+53.3-0.1+30.8+0.1+48.5+0.4+47.7+43.1+43.2+7.9+7.9+36.6+43.4+5.7+11+32.3+0.1-0.1</f>
        <v>933.1</v>
      </c>
      <c r="E137" s="19">
        <f>D137/D106*100</f>
        <v>0.5496016845577298</v>
      </c>
      <c r="F137" s="6" t="e">
        <f t="shared" si="15"/>
        <v>#DIV/0!</v>
      </c>
      <c r="G137" s="6">
        <f t="shared" si="12"/>
        <v>89.59193470955353</v>
      </c>
      <c r="H137" s="6">
        <f t="shared" si="16"/>
        <v>-933.1</v>
      </c>
      <c r="I137" s="6">
        <f t="shared" si="14"/>
        <v>108.39999999999998</v>
      </c>
    </row>
    <row r="138" spans="1:9" s="39" customFormat="1" ht="18">
      <c r="A138" s="40" t="s">
        <v>53</v>
      </c>
      <c r="B138" s="81"/>
      <c r="C138" s="51">
        <f>848.7+46.3</f>
        <v>895</v>
      </c>
      <c r="D138" s="82">
        <f>21.9+39.7+0.1+6.1+19+41-0.1+21.3+43.3+8.5+32.3+32.1+41.5+4.2+33.1+25.6+47+0.1+25.6+53.3+26.2+48.5+0.4+43.2+40.8+42.8+4+33.5+38.9+7.1+32.3</f>
        <v>813.3000000000001</v>
      </c>
      <c r="E138" s="1">
        <f>D138/D137*100</f>
        <v>87.16107598328155</v>
      </c>
      <c r="F138" s="1" t="e">
        <f aca="true" t="shared" si="17" ref="F138:F146">D138/B138*100</f>
        <v>#DIV/0!</v>
      </c>
      <c r="G138" s="1">
        <f t="shared" si="12"/>
        <v>90.87150837988828</v>
      </c>
      <c r="H138" s="1">
        <f t="shared" si="16"/>
        <v>-813.3000000000001</v>
      </c>
      <c r="I138" s="1">
        <f t="shared" si="14"/>
        <v>81.69999999999993</v>
      </c>
    </row>
    <row r="139" spans="1:9" s="39" customFormat="1" ht="18">
      <c r="A139" s="29" t="s">
        <v>32</v>
      </c>
      <c r="B139" s="81"/>
      <c r="C139" s="51">
        <f>26.3+9.5</f>
        <v>35.8</v>
      </c>
      <c r="D139" s="82">
        <f>7+6+0.2+7.1+0.1+0.4+0.3+0.1+0.3+0.4+0.3+0.3+0.4+1.9+0.1</f>
        <v>24.9</v>
      </c>
      <c r="E139" s="1">
        <f>D139/D137*100</f>
        <v>2.668524273925624</v>
      </c>
      <c r="F139" s="1" t="e">
        <f t="shared" si="17"/>
        <v>#DIV/0!</v>
      </c>
      <c r="G139" s="1">
        <f>D139/C139*100</f>
        <v>69.55307262569832</v>
      </c>
      <c r="H139" s="1">
        <f t="shared" si="16"/>
        <v>-24.9</v>
      </c>
      <c r="I139" s="1">
        <f t="shared" si="14"/>
        <v>10.899999999999999</v>
      </c>
    </row>
    <row r="140" spans="1:9" s="2" customFormat="1" ht="56.25">
      <c r="A140" s="23" t="s">
        <v>113</v>
      </c>
      <c r="B140" s="80"/>
      <c r="C140" s="60">
        <v>200</v>
      </c>
      <c r="D140" s="83">
        <v>200</v>
      </c>
      <c r="E140" s="19">
        <f>D140/D106*100</f>
        <v>0.11780123985804948</v>
      </c>
      <c r="F140" s="111" t="e">
        <f t="shared" si="17"/>
        <v>#DIV/0!</v>
      </c>
      <c r="G140" s="6">
        <f t="shared" si="12"/>
        <v>100</v>
      </c>
      <c r="H140" s="6">
        <f t="shared" si="16"/>
        <v>-200</v>
      </c>
      <c r="I140" s="6">
        <f t="shared" si="14"/>
        <v>0</v>
      </c>
    </row>
    <row r="141" spans="1:9" s="2" customFormat="1" ht="18.75">
      <c r="A141" s="23" t="s">
        <v>115</v>
      </c>
      <c r="B141" s="80"/>
      <c r="C141" s="60">
        <f>427+1500+800</f>
        <v>2727</v>
      </c>
      <c r="D141" s="83">
        <f>1000+463.5+800+463.5</f>
        <v>2727</v>
      </c>
      <c r="E141" s="19">
        <f>D141/D106*100</f>
        <v>1.6062199054645048</v>
      </c>
      <c r="F141" s="111" t="e">
        <f>D141/B141*100</f>
        <v>#DIV/0!</v>
      </c>
      <c r="G141" s="6">
        <f t="shared" si="12"/>
        <v>100</v>
      </c>
      <c r="H141" s="6">
        <f t="shared" si="16"/>
        <v>-2727</v>
      </c>
      <c r="I141" s="6">
        <f t="shared" si="14"/>
        <v>0</v>
      </c>
    </row>
    <row r="142" spans="1:9" s="2" customFormat="1" ht="18.75">
      <c r="A142" s="23" t="s">
        <v>110</v>
      </c>
      <c r="B142" s="80"/>
      <c r="C142" s="60">
        <f>6500-2076-424+9200+2300-150-400</f>
        <v>14950</v>
      </c>
      <c r="D142" s="83">
        <f>241.3+64.6+48.1+278.9+170.1+140.9+637.5+150.9+370.2+164.6+344.6+242.4+441.1+0.1+89.8+381.7+177.1+247.5+73.1+327.9+377.9+42.9+540.2+305.5+89.5+547.4+109.3+203.4+257.6+84.6+422.6+90.4+288.5+253.3+230.8+86.7+70.6</f>
        <v>8593.599999999999</v>
      </c>
      <c r="E142" s="19">
        <f>D142/D106*100</f>
        <v>5.06168367422067</v>
      </c>
      <c r="F142" s="111" t="e">
        <f t="shared" si="17"/>
        <v>#DIV/0!</v>
      </c>
      <c r="G142" s="6">
        <f t="shared" si="12"/>
        <v>57.482274247491624</v>
      </c>
      <c r="H142" s="6">
        <f t="shared" si="16"/>
        <v>-8593.599999999999</v>
      </c>
      <c r="I142" s="6">
        <f t="shared" si="14"/>
        <v>6356.4000000000015</v>
      </c>
    </row>
    <row r="143" spans="1:9" s="2" customFormat="1" ht="18.75">
      <c r="A143" s="23" t="s">
        <v>111</v>
      </c>
      <c r="B143" s="80"/>
      <c r="C143" s="60">
        <f>6082.6-959.5+20</f>
        <v>5143.1</v>
      </c>
      <c r="D143" s="83">
        <f>626.1+43.8+40.3+236+112.9+11.4-0.1+68.6+570.3+22.4+44.4+39.9+585.7+199.1+14+103.1+2.3+286.9+158.5+66.9+234.3+82.1+59.7+189.8+90.4+340.8+16+41.8+22.6+35.6+23.2+20.8</f>
        <v>4389.600000000001</v>
      </c>
      <c r="E143" s="19">
        <f>D143/D106*100</f>
        <v>2.585501612404471</v>
      </c>
      <c r="F143" s="111" t="e">
        <f t="shared" si="17"/>
        <v>#DIV/0!</v>
      </c>
      <c r="G143" s="6">
        <f t="shared" si="12"/>
        <v>85.34930294958295</v>
      </c>
      <c r="H143" s="6">
        <f t="shared" si="16"/>
        <v>-4389.600000000001</v>
      </c>
      <c r="I143" s="6">
        <f t="shared" si="14"/>
        <v>753.4999999999991</v>
      </c>
    </row>
    <row r="144" spans="1:9" s="2" customFormat="1" ht="18.75">
      <c r="A144" s="17" t="s">
        <v>114</v>
      </c>
      <c r="B144" s="80"/>
      <c r="C144" s="60">
        <v>8376</v>
      </c>
      <c r="D144" s="83">
        <f>2094+2094+2094+2094</f>
        <v>8376</v>
      </c>
      <c r="E144" s="19">
        <f>D144/D106*100</f>
        <v>4.933515925255112</v>
      </c>
      <c r="F144" s="111" t="e">
        <f t="shared" si="17"/>
        <v>#DIV/0!</v>
      </c>
      <c r="G144" s="6">
        <f t="shared" si="12"/>
        <v>100</v>
      </c>
      <c r="H144" s="6">
        <f t="shared" si="16"/>
        <v>-8376</v>
      </c>
      <c r="I144" s="6">
        <f t="shared" si="14"/>
        <v>0</v>
      </c>
    </row>
    <row r="145" spans="1:12" s="2" customFormat="1" ht="18.75" customHeight="1">
      <c r="A145" s="17" t="s">
        <v>98</v>
      </c>
      <c r="B145" s="80"/>
      <c r="C145" s="60">
        <v>538.2</v>
      </c>
      <c r="D145" s="83">
        <f>507.8+15.4+15</f>
        <v>538.2</v>
      </c>
      <c r="E145" s="19">
        <f>D145/D106*100</f>
        <v>0.3170031364580112</v>
      </c>
      <c r="F145" s="111" t="e">
        <f t="shared" si="17"/>
        <v>#DIV/0!</v>
      </c>
      <c r="G145" s="6">
        <f t="shared" si="12"/>
        <v>100</v>
      </c>
      <c r="H145" s="6">
        <f t="shared" si="16"/>
        <v>-538.2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/>
      <c r="C146" s="60">
        <f>91632.1+2530-27+23.1+959.5+13590.1-3797.9+8580-1214.3+651-86.3-254.1-80</f>
        <v>112506.20000000001</v>
      </c>
      <c r="D146" s="83">
        <f>500.9+20883.8+13804+7506.8+2189.4+1247.6+18786.6+13748.5+10000+5000+2324.4+7494.4+700+880+366.4+133+650+1431+4419.6+999.5-1214.3+130.5+0.1+524</f>
        <v>112506.2</v>
      </c>
      <c r="E146" s="19">
        <f>D146/D106*100</f>
        <v>66.26684925858844</v>
      </c>
      <c r="F146" s="6" t="e">
        <f t="shared" si="17"/>
        <v>#DIV/0!</v>
      </c>
      <c r="G146" s="6">
        <f t="shared" si="12"/>
        <v>99.99999999999999</v>
      </c>
      <c r="H146" s="6">
        <f t="shared" si="16"/>
        <v>-112506.2</v>
      </c>
      <c r="I146" s="6">
        <f t="shared" si="14"/>
        <v>0</v>
      </c>
      <c r="K146" s="103"/>
      <c r="L146" s="45"/>
    </row>
    <row r="147" spans="1:12" s="2" customFormat="1" ht="18.75">
      <c r="A147" s="17" t="s">
        <v>112</v>
      </c>
      <c r="B147" s="80"/>
      <c r="C147" s="60">
        <v>22263.4</v>
      </c>
      <c r="D147" s="83">
        <f>1236.9+618.4+618.4+618.4+618.5+618.4+618.4+618.5+618.4+618.4+618.5+618.4+618.4+618.5+618.4+618.4+618.5+618.4+618.4+618.5+618.4+618.4+618.4+618.5+618.4+618.5+618.4+618.4+618.5+618.4+618.4+618.4</f>
        <v>20408.200000000004</v>
      </c>
      <c r="E147" s="19">
        <f>D147/D106*100</f>
        <v>12.02055631635523</v>
      </c>
      <c r="F147" s="6" t="e">
        <f t="shared" si="15"/>
        <v>#DIV/0!</v>
      </c>
      <c r="G147" s="6">
        <f t="shared" si="12"/>
        <v>91.66704097307691</v>
      </c>
      <c r="H147" s="6">
        <f t="shared" si="16"/>
        <v>-20408.200000000004</v>
      </c>
      <c r="I147" s="6">
        <f t="shared" si="14"/>
        <v>1855.199999999997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0</v>
      </c>
      <c r="C148" s="84">
        <f>C43+C68+C71+C76+C78+C86+C101+C106+C99+C83+C97</f>
        <v>197242.19999999998</v>
      </c>
      <c r="D148" s="60">
        <f>D43+D68+D71+D76+D78+D86+D101+D106+D99+D83+D97</f>
        <v>177594.60700000005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0</v>
      </c>
      <c r="C149" s="54">
        <f>C6+C18+C33+C43+C51+C58+C68+C71+C76+C78+C86+C89+C94+C101+C106+C99+C83+C97+C45</f>
        <v>988151.6</v>
      </c>
      <c r="D149" s="54">
        <f>D6+D18+D33+D43+D51+D58+D68+D71+D76+D78+D86+D89+D94+D101+D106+D99+D83+D97+D45</f>
        <v>871136.4070000001</v>
      </c>
      <c r="E149" s="38">
        <v>100</v>
      </c>
      <c r="F149" s="3" t="e">
        <f>D149/B149*100</f>
        <v>#DIV/0!</v>
      </c>
      <c r="G149" s="3">
        <f aca="true" t="shared" si="18" ref="G149:G155">D149/C149*100</f>
        <v>88.15817400892739</v>
      </c>
      <c r="H149" s="3">
        <f aca="true" t="shared" si="19" ref="H149:H155">B149-D149</f>
        <v>-871136.4070000001</v>
      </c>
      <c r="I149" s="3">
        <f aca="true" t="shared" si="20" ref="I149:I155">C149-D149</f>
        <v>117015.19299999985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0</v>
      </c>
      <c r="C150" s="67">
        <f>C8+C20+C34+C52+C59+C90+C114+C118+C46+C138+C130</f>
        <v>558433.5</v>
      </c>
      <c r="D150" s="67">
        <f>D8+D20+D34+D52+D59+D90+D114+D118+D46+D138+D130</f>
        <v>504272.3</v>
      </c>
      <c r="E150" s="6">
        <f>D150/D149*100</f>
        <v>57.886720833606475</v>
      </c>
      <c r="F150" s="6" t="e">
        <f aca="true" t="shared" si="21" ref="F150:F161">D150/B150*100</f>
        <v>#DIV/0!</v>
      </c>
      <c r="G150" s="6">
        <f t="shared" si="18"/>
        <v>90.30122655607158</v>
      </c>
      <c r="H150" s="6">
        <f t="shared" si="19"/>
        <v>-504272.3</v>
      </c>
      <c r="I150" s="18">
        <f t="shared" si="20"/>
        <v>54161.20000000001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0</v>
      </c>
      <c r="C151" s="68">
        <f>C11+C23+C36+C55+C61+C91+C49+C139+C108+C111+C95+C136</f>
        <v>100135.2</v>
      </c>
      <c r="D151" s="68">
        <f>D11+D23+D36+D55+D61+D91+D49+D139+D108+D111+D95+D136</f>
        <v>71888.40000000002</v>
      </c>
      <c r="E151" s="6">
        <f>D151/D149*100</f>
        <v>8.252255263623717</v>
      </c>
      <c r="F151" s="6" t="e">
        <f t="shared" si="21"/>
        <v>#DIV/0!</v>
      </c>
      <c r="G151" s="6">
        <f t="shared" si="18"/>
        <v>71.79133811087412</v>
      </c>
      <c r="H151" s="6">
        <f t="shared" si="19"/>
        <v>-71888.40000000002</v>
      </c>
      <c r="I151" s="18">
        <f t="shared" si="20"/>
        <v>28246.799999999974</v>
      </c>
      <c r="K151" s="46"/>
      <c r="L151" s="102"/>
    </row>
    <row r="152" spans="1:12" ht="18.75">
      <c r="A152" s="23" t="s">
        <v>1</v>
      </c>
      <c r="B152" s="67">
        <f>B22+B10+B54+B48+B60+B35+B102+B122</f>
        <v>0</v>
      </c>
      <c r="C152" s="67">
        <f>C22+C10+C54+C48+C60+C35+C102+C122</f>
        <v>26078.3</v>
      </c>
      <c r="D152" s="67">
        <f>D22+D10+D54+D48+D60+D35+D102+D122</f>
        <v>21733.7</v>
      </c>
      <c r="E152" s="6">
        <f>D152/D149*100</f>
        <v>2.494867603438367</v>
      </c>
      <c r="F152" s="6" t="e">
        <f t="shared" si="21"/>
        <v>#DIV/0!</v>
      </c>
      <c r="G152" s="6">
        <f t="shared" si="18"/>
        <v>83.34017171364698</v>
      </c>
      <c r="H152" s="6">
        <f t="shared" si="19"/>
        <v>-21733.7</v>
      </c>
      <c r="I152" s="18">
        <f t="shared" si="20"/>
        <v>4344.5999999999985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0</v>
      </c>
      <c r="C153" s="67">
        <f>C12+C24+C103+C62+C38+C92+C128</f>
        <v>14806.300000000001</v>
      </c>
      <c r="D153" s="67">
        <f>D12+D24+D103+D62+D38+D92+D128</f>
        <v>11335.8</v>
      </c>
      <c r="E153" s="6">
        <f>D153/D149*100</f>
        <v>1.3012657844295556</v>
      </c>
      <c r="F153" s="6" t="e">
        <f t="shared" si="21"/>
        <v>#DIV/0!</v>
      </c>
      <c r="G153" s="6">
        <f t="shared" si="18"/>
        <v>76.56065323544706</v>
      </c>
      <c r="H153" s="6">
        <f t="shared" si="19"/>
        <v>-11335.8</v>
      </c>
      <c r="I153" s="18">
        <f t="shared" si="20"/>
        <v>3470.500000000002</v>
      </c>
      <c r="K153" s="46"/>
      <c r="L153" s="102"/>
    </row>
    <row r="154" spans="1:12" ht="18.75">
      <c r="A154" s="23" t="s">
        <v>2</v>
      </c>
      <c r="B154" s="67">
        <f>B9+B21+B47+B53+B121</f>
        <v>0</v>
      </c>
      <c r="C154" s="67">
        <f>C9+C21+C47+C53+C121</f>
        <v>13534.7</v>
      </c>
      <c r="D154" s="67">
        <f>D9+D21+D47+D53+D121</f>
        <v>12263.099999999997</v>
      </c>
      <c r="E154" s="6">
        <f>D154/D149*100</f>
        <v>1.407712948449874</v>
      </c>
      <c r="F154" s="6" t="e">
        <f t="shared" si="21"/>
        <v>#DIV/0!</v>
      </c>
      <c r="G154" s="6">
        <f t="shared" si="18"/>
        <v>90.60488965400043</v>
      </c>
      <c r="H154" s="6">
        <f t="shared" si="19"/>
        <v>-12263.099999999997</v>
      </c>
      <c r="I154" s="18">
        <f t="shared" si="20"/>
        <v>1271.600000000004</v>
      </c>
      <c r="K154" s="46"/>
      <c r="L154" s="47"/>
    </row>
    <row r="155" spans="1:12" ht="19.5" thickBot="1">
      <c r="A155" s="23" t="s">
        <v>34</v>
      </c>
      <c r="B155" s="67">
        <f>B149-B150-B151-B152-B153-B154</f>
        <v>0</v>
      </c>
      <c r="C155" s="67">
        <f>C149-C150-C151-C152-C153-C154</f>
        <v>275163.6</v>
      </c>
      <c r="D155" s="67">
        <f>D149-D150-D151-D152-D153-D154</f>
        <v>249643.1070000001</v>
      </c>
      <c r="E155" s="6">
        <f>D155/D149*100</f>
        <v>28.657177566452006</v>
      </c>
      <c r="F155" s="6" t="e">
        <f t="shared" si="21"/>
        <v>#DIV/0!</v>
      </c>
      <c r="G155" s="43">
        <f t="shared" si="18"/>
        <v>90.72533830782855</v>
      </c>
      <c r="H155" s="6">
        <f t="shared" si="19"/>
        <v>-249643.1070000001</v>
      </c>
      <c r="I155" s="6">
        <f t="shared" si="20"/>
        <v>25520.49299999987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/>
      <c r="C157" s="73">
        <f>3301.9+496+14356.4+1358.1+6215.8+538+1033.5-64-1009.3-530</f>
        <v>25696.399999999998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+243.5+701.5+45.8+155+107.5+56+112.3+0.1+4.8+1.1+175.5+414.1</f>
        <v>13451.599999999993</v>
      </c>
      <c r="E157" s="15"/>
      <c r="F157" s="6" t="e">
        <f t="shared" si="21"/>
        <v>#DIV/0!</v>
      </c>
      <c r="G157" s="6">
        <f aca="true" t="shared" si="22" ref="G157:G166">D157/C157*100</f>
        <v>52.34818885135659</v>
      </c>
      <c r="H157" s="6">
        <f>B157-D157</f>
        <v>-13451.599999999993</v>
      </c>
      <c r="I157" s="6">
        <f aca="true" t="shared" si="23" ref="I157:I166">C157-D157</f>
        <v>12244.800000000005</v>
      </c>
      <c r="K157" s="46"/>
      <c r="L157" s="46"/>
    </row>
    <row r="158" spans="1:12" ht="18.75">
      <c r="A158" s="23" t="s">
        <v>22</v>
      </c>
      <c r="B158" s="88"/>
      <c r="C158" s="67">
        <f>16860.5-195+353.2+846+1272.3+300+30.1</f>
        <v>19467.1</v>
      </c>
      <c r="D158" s="67">
        <f>132.1+649.5+498.6+2.9+146.5+119.3+11.1+935+701.6+2.9+12.3-0.1+18.6+43.3+39.7+94+282.1+33.2+9+121.6+250.9+78.8+80+13.6+23.8+457.4+36+8.5+326.3+22.2+795.3+172.7+29.4+49.6+1021.9-0.1+17.1+3.9+950.9+26.4+707.9+336.2+213.7+78.2+0.1+146+1374.5+95.8</f>
        <v>11170.2</v>
      </c>
      <c r="E158" s="6"/>
      <c r="F158" s="6" t="e">
        <f t="shared" si="21"/>
        <v>#DIV/0!</v>
      </c>
      <c r="G158" s="6">
        <f t="shared" si="22"/>
        <v>57.37988709155448</v>
      </c>
      <c r="H158" s="6">
        <f aca="true" t="shared" si="24" ref="H158:H165">B158-D158</f>
        <v>-11170.2</v>
      </c>
      <c r="I158" s="6">
        <f t="shared" si="23"/>
        <v>8296.899999999998</v>
      </c>
      <c r="K158" s="46"/>
      <c r="L158" s="46"/>
    </row>
    <row r="159" spans="1:12" ht="18.75">
      <c r="A159" s="23" t="s">
        <v>60</v>
      </c>
      <c r="B159" s="88"/>
      <c r="C159" s="67">
        <f>213607.5+29882.9-2140-37856.7-150+7307.7-1151.4-538-1033.5+64-505+651+79.6</f>
        <v>208218.10000000003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+5672.7+77.1+644.2+1473.6+3496.3+1866.8+649.9+487.3+1516.1+1031.5+273.8+269.3+713.4+446.6-1008.4+495.4+3247.6+1019.6+46.9+2956.7+804.5+133.1</f>
        <v>105779.70000000003</v>
      </c>
      <c r="E159" s="6"/>
      <c r="F159" s="6" t="e">
        <f t="shared" si="21"/>
        <v>#DIV/0!</v>
      </c>
      <c r="G159" s="6">
        <f t="shared" si="22"/>
        <v>50.80235579903957</v>
      </c>
      <c r="H159" s="6">
        <f t="shared" si="24"/>
        <v>-105779.70000000003</v>
      </c>
      <c r="I159" s="6">
        <f t="shared" si="23"/>
        <v>102438.40000000001</v>
      </c>
      <c r="K159" s="46"/>
      <c r="L159" s="46"/>
    </row>
    <row r="160" spans="1:12" ht="37.5">
      <c r="A160" s="23" t="s">
        <v>69</v>
      </c>
      <c r="B160" s="88"/>
      <c r="C160" s="67">
        <f>509.4+2140</f>
        <v>2649.4</v>
      </c>
      <c r="D160" s="67">
        <f>309.4+300+1220.5+619.5-1008.5+1008.5+200</f>
        <v>2649.4</v>
      </c>
      <c r="E160" s="6"/>
      <c r="F160" s="6" t="e">
        <f t="shared" si="21"/>
        <v>#DIV/0!</v>
      </c>
      <c r="G160" s="6">
        <f t="shared" si="22"/>
        <v>100</v>
      </c>
      <c r="H160" s="6">
        <f t="shared" si="24"/>
        <v>-2649.4</v>
      </c>
      <c r="I160" s="6">
        <f t="shared" si="23"/>
        <v>0</v>
      </c>
      <c r="K160" s="46"/>
      <c r="L160" s="46"/>
    </row>
    <row r="161" spans="1:12" ht="18.75">
      <c r="A161" s="23" t="s">
        <v>13</v>
      </c>
      <c r="B161" s="88"/>
      <c r="C161" s="67">
        <f>54+13623.4</f>
        <v>13677.4</v>
      </c>
      <c r="D161" s="67">
        <f>5.2+5.1+225.1+114.9+40.2+5.2+4.6+89.9+13.6+4.1+10.7+98.5+1634+39+1.7-40.2+1.3+4.6+3.7+91+4.8+917.9+24.9+175.1+0.1+299.7+3.5+251.8+116.5+107.8-0.1+781.9+590.9</f>
        <v>5626.999999999999</v>
      </c>
      <c r="E161" s="19"/>
      <c r="F161" s="6" t="e">
        <f t="shared" si="21"/>
        <v>#DIV/0!</v>
      </c>
      <c r="G161" s="6">
        <f t="shared" si="22"/>
        <v>41.14086010499071</v>
      </c>
      <c r="H161" s="6">
        <f t="shared" si="24"/>
        <v>-5626.999999999999</v>
      </c>
      <c r="I161" s="6">
        <f t="shared" si="23"/>
        <v>8050.400000000001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/>
      <c r="C163" s="67">
        <f>1212+158.6</f>
        <v>1370.6</v>
      </c>
      <c r="D163" s="67">
        <f>15.4+25.9+416.9+18.7+17.6+164.3+27.1</f>
        <v>685.9</v>
      </c>
      <c r="E163" s="19"/>
      <c r="F163" s="6" t="e">
        <f>D163/B163*100</f>
        <v>#DIV/0!</v>
      </c>
      <c r="G163" s="6">
        <f t="shared" si="22"/>
        <v>50.043776448270826</v>
      </c>
      <c r="H163" s="6">
        <f t="shared" si="24"/>
        <v>-685.9</v>
      </c>
      <c r="I163" s="6">
        <f t="shared" si="23"/>
        <v>684.6999999999999</v>
      </c>
    </row>
    <row r="164" spans="1:9" ht="19.5" customHeight="1">
      <c r="A164" s="23" t="s">
        <v>67</v>
      </c>
      <c r="B164" s="88"/>
      <c r="C164" s="67">
        <v>307.6</v>
      </c>
      <c r="D164" s="67"/>
      <c r="E164" s="19"/>
      <c r="F164" s="6" t="e">
        <f>D164/B164*100</f>
        <v>#DIV/0!</v>
      </c>
      <c r="G164" s="6">
        <f t="shared" si="22"/>
        <v>0</v>
      </c>
      <c r="H164" s="6">
        <f t="shared" si="24"/>
        <v>0</v>
      </c>
      <c r="I164" s="6">
        <f t="shared" si="23"/>
        <v>307.6</v>
      </c>
    </row>
    <row r="165" spans="1:9" ht="19.5" thickBot="1">
      <c r="A165" s="23" t="s">
        <v>61</v>
      </c>
      <c r="B165" s="88"/>
      <c r="C165" s="89">
        <f>3718.8-40.1</f>
        <v>3678.7000000000003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 t="e">
        <f>D165/B165*100</f>
        <v>#DIV/0!</v>
      </c>
      <c r="G165" s="6">
        <f t="shared" si="22"/>
        <v>93.4868295865387</v>
      </c>
      <c r="H165" s="6">
        <f t="shared" si="24"/>
        <v>-3439.1</v>
      </c>
      <c r="I165" s="6">
        <f t="shared" si="23"/>
        <v>239.60000000000036</v>
      </c>
    </row>
    <row r="166" spans="1:9" ht="19.5" thickBot="1">
      <c r="A166" s="14" t="s">
        <v>20</v>
      </c>
      <c r="B166" s="90">
        <f>B149+B157+B161+B162+B158+B165+B164+B159+B163+B160</f>
        <v>0</v>
      </c>
      <c r="C166" s="90">
        <f>C149+C157+C161+C162+C158+C165+C164+C159+C163+C160</f>
        <v>1263216.9000000001</v>
      </c>
      <c r="D166" s="90">
        <f>D149+D157+D161+D162+D158+D165+D164+D159+D163+D160</f>
        <v>1013939.3070000001</v>
      </c>
      <c r="E166" s="25"/>
      <c r="F166" s="3" t="e">
        <f>D166/B166*100</f>
        <v>#DIV/0!</v>
      </c>
      <c r="G166" s="3">
        <f t="shared" si="22"/>
        <v>80.26644569115565</v>
      </c>
      <c r="H166" s="3">
        <f>B166-D166</f>
        <v>-1013939.3070000001</v>
      </c>
      <c r="I166" s="3">
        <f t="shared" si="23"/>
        <v>249277.593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7" sqref="R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988151.6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871136.4070000001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988151.6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871136.4070000001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2015-12-04T08:58:13Z</cp:lastPrinted>
  <dcterms:created xsi:type="dcterms:W3CDTF">2000-06-20T04:48:00Z</dcterms:created>
  <dcterms:modified xsi:type="dcterms:W3CDTF">2015-12-09T06:09:39Z</dcterms:modified>
  <cp:category/>
  <cp:version/>
  <cp:contentType/>
  <cp:contentStatus/>
</cp:coreProperties>
</file>